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lanip\общая\ОТЧЕТ ФУ за неделю\2026\09\25\"/>
    </mc:Choice>
  </mc:AlternateContent>
  <xr:revisionPtr revIDLastSave="0" documentId="13_ncr:1_{CCF37BAC-27E4-4E95-806E-ABAE7B0676D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Доходы" sheetId="5" r:id="rId1"/>
  </sheets>
  <definedNames>
    <definedName name="_xlnm._FilterDatabase" localSheetId="0" hidden="1">Доходы!$A$6:$IA$6</definedName>
    <definedName name="Z_03D5E49F_24F7_44F7_8210_D85778C981A4_.wvu.FilterData" localSheetId="0" hidden="1">Доходы!$A$6:$AF$61</definedName>
    <definedName name="Z_117A7AA9_056F_4018_98AD_EAECFC43F1B3_.wvu.Cols" localSheetId="0" hidden="1">Доходы!$B:$H,Доходы!$J:$K,Доходы!$M:$M,Доходы!$P:$P,Доходы!$U:$U,Доходы!#REF!,Доходы!#REF!,Доходы!$AD:$AD</definedName>
    <definedName name="Z_117A7AA9_056F_4018_98AD_EAECFC43F1B3_.wvu.FilterData" localSheetId="0" hidden="1">Доходы!$A$6:$AF$61</definedName>
    <definedName name="Z_117A7AA9_056F_4018_98AD_EAECFC43F1B3_.wvu.PrintArea" localSheetId="0" hidden="1">Доходы!$A$1:$AC$67</definedName>
    <definedName name="Z_117A7AA9_056F_4018_98AD_EAECFC43F1B3_.wvu.PrintTitles" localSheetId="0" hidden="1">Доходы!$4:$6</definedName>
    <definedName name="Z_117A7AA9_056F_4018_98AD_EAECFC43F1B3_.wvu.Rows" localSheetId="0" hidden="1">Доходы!$69:$70</definedName>
    <definedName name="Z_4CBCD9D8_B3F5_4722_8CE7_38B89561B806_.wvu.Cols" localSheetId="0" hidden="1">Доходы!$B:$H,Доходы!#REF!,Доходы!$U:$U,Доходы!#REF!,Доходы!$AD:$AD</definedName>
    <definedName name="Z_4CBCD9D8_B3F5_4722_8CE7_38B89561B806_.wvu.PrintArea" localSheetId="0" hidden="1">Доходы!$A$1:$AD$67</definedName>
    <definedName name="Z_4CBCD9D8_B3F5_4722_8CE7_38B89561B806_.wvu.PrintTitles" localSheetId="0" hidden="1">Доходы!$4:$6</definedName>
    <definedName name="Z_4CBCD9D8_B3F5_4722_8CE7_38B89561B806_.wvu.Rows" localSheetId="0" hidden="1">Доходы!$69:$70</definedName>
    <definedName name="Z_583FA723_9D22_4D8A_87C2_40F053D3EC03_.wvu.FilterData" localSheetId="0" hidden="1">Доходы!$A$6:$AF$61</definedName>
    <definedName name="Z_65E97C0E_073B_49BA_9AB4_D888408B0A75_.wvu.FilterData" localSheetId="0" hidden="1">Доходы!$A$6:$AF$61</definedName>
    <definedName name="Z_71A44519_BDEF_434C_95CC_A4A24B3AF9C3_.wvu.FilterData" localSheetId="0" hidden="1">Доходы!$A$6:$AF$61</definedName>
    <definedName name="Z_7DC50C37_F81E_464D_BE66_31375C660B0F_.wvu.Cols" localSheetId="0" hidden="1">Доходы!$B:$H,Доходы!#REF!,Доходы!#REF!,Доходы!#REF!,Доходы!$U:$U,Доходы!#REF!,Доходы!$AD:$AD</definedName>
    <definedName name="Z_7DC50C37_F81E_464D_BE66_31375C660B0F_.wvu.PrintArea" localSheetId="0" hidden="1">Доходы!$A$1:$AD$67</definedName>
    <definedName name="Z_7DC50C37_F81E_464D_BE66_31375C660B0F_.wvu.PrintTitles" localSheetId="0" hidden="1">Доходы!$4:$6</definedName>
    <definedName name="Z_7DC50C37_F81E_464D_BE66_31375C660B0F_.wvu.Rows" localSheetId="0" hidden="1">Доходы!$69:$70</definedName>
    <definedName name="Z_EFA3296C_EA11_4228_A03B_6841E5AF5251_.wvu.Cols" localSheetId="0" hidden="1">Доходы!$B:$H,Доходы!$J:$K,Доходы!$M:$M,Доходы!$P:$P,Доходы!#REF!,Доходы!#REF!,Доходы!$AD:$AD</definedName>
    <definedName name="Z_EFA3296C_EA11_4228_A03B_6841E5AF5251_.wvu.FilterData" localSheetId="0" hidden="1">Доходы!$A$6:$AF$61</definedName>
    <definedName name="Z_EFA3296C_EA11_4228_A03B_6841E5AF5251_.wvu.PrintArea" localSheetId="0" hidden="1">Доходы!$A$1:$AC$67</definedName>
    <definedName name="Z_EFA3296C_EA11_4228_A03B_6841E5AF5251_.wvu.PrintTitles" localSheetId="0" hidden="1">Доходы!$4:$6</definedName>
    <definedName name="Z_EFA3296C_EA11_4228_A03B_6841E5AF5251_.wvu.Rows" localSheetId="0" hidden="1">Доходы!$69:$70</definedName>
    <definedName name="_xlnm.Print_Titles" localSheetId="0">Доходы!$4:$6</definedName>
    <definedName name="_xlnm.Print_Area" localSheetId="0">Доходы!$B$1:$AC$67</definedName>
  </definedNames>
  <calcPr calcId="191029"/>
  <customWorkbookViews>
    <customWorkbookView name="Пользователь - Личное представление" guid="{117A7AA9-056F-4018-98AD-EAECFC43F1B3}" mergeInterval="0" personalView="1" maximized="1" xWindow="-8" yWindow="-8" windowWidth="1296" windowHeight="1000" activeSheetId="1"/>
    <customWorkbookView name="BLGANV - Личное представление" guid="{7DC50C37-F81E-464D-BE66-31375C660B0F}" mergeInterval="0" personalView="1" maximized="1" xWindow="-8" yWindow="-8" windowWidth="1296" windowHeight="1000" activeSheetId="1"/>
    <customWorkbookView name="BLTOIV1 - Личное представление" guid="{4CBCD9D8-B3F5-4722-8CE7-38B89561B806}" mergeInterval="0" personalView="1" maximized="1" xWindow="-8" yWindow="-8" windowWidth="1296" windowHeight="1000" activeSheetId="1"/>
    <customWorkbookView name="BLPUSP2 - Личное представление" guid="{EFA3296C-EA11-4228-A03B-6841E5AF5251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7" i="5" l="1"/>
  <c r="S52" i="5"/>
  <c r="S50" i="5"/>
  <c r="S49" i="5"/>
  <c r="S48" i="5"/>
  <c r="S47" i="5"/>
  <c r="S46" i="5"/>
  <c r="S43" i="5"/>
  <c r="S41" i="5"/>
  <c r="S38" i="5"/>
  <c r="S36" i="5" s="1"/>
  <c r="S35" i="5" s="1"/>
  <c r="S37" i="5"/>
  <c r="S32" i="5"/>
  <c r="S31" i="5"/>
  <c r="S30" i="5"/>
  <c r="S29" i="5"/>
  <c r="S28" i="5"/>
  <c r="S27" i="5"/>
  <c r="S26" i="5"/>
  <c r="S25" i="5"/>
  <c r="S24" i="5" s="1"/>
  <c r="S23" i="5" s="1"/>
  <c r="S21" i="5"/>
  <c r="S20" i="5"/>
  <c r="S19" i="5"/>
  <c r="S18" i="5" s="1"/>
  <c r="S17" i="5"/>
  <c r="S16" i="5"/>
  <c r="S15" i="5"/>
  <c r="S14" i="5"/>
  <c r="S13" i="5"/>
  <c r="S9" i="5" s="1"/>
  <c r="S7" i="5" s="1"/>
  <c r="S8" i="5" s="1"/>
  <c r="S11" i="5"/>
  <c r="S10" i="5"/>
  <c r="O11" i="5"/>
  <c r="R37" i="5"/>
  <c r="R29" i="5"/>
  <c r="R27" i="5"/>
  <c r="Q52" i="5"/>
  <c r="Q48" i="5"/>
  <c r="Q43" i="5"/>
  <c r="Q36" i="5"/>
  <c r="Q35" i="5" s="1"/>
  <c r="Q30" i="5"/>
  <c r="Q29" i="5"/>
  <c r="Q28" i="5" s="1"/>
  <c r="Q27" i="5"/>
  <c r="Q25" i="5"/>
  <c r="Q18" i="5"/>
  <c r="Q24" i="5" l="1"/>
  <c r="Q23" i="5" s="1"/>
  <c r="V10" i="5" l="1"/>
  <c r="S61" i="5" l="1"/>
  <c r="Q9" i="5"/>
  <c r="Q7" i="5" l="1"/>
  <c r="Q8" i="5" s="1"/>
  <c r="T28" i="5" l="1"/>
  <c r="T18" i="5"/>
  <c r="T9" i="5" s="1"/>
  <c r="O10" i="5" l="1"/>
  <c r="W12" i="5" l="1"/>
  <c r="V12" i="5"/>
  <c r="O13" i="5"/>
  <c r="O47" i="5"/>
  <c r="K52" i="5"/>
  <c r="K48" i="5"/>
  <c r="K43" i="5"/>
  <c r="K36" i="5"/>
  <c r="K35" i="5" s="1"/>
  <c r="K30" i="5"/>
  <c r="K28" i="5"/>
  <c r="K25" i="5"/>
  <c r="K18" i="5"/>
  <c r="K9" i="5"/>
  <c r="P29" i="5"/>
  <c r="P27" i="5"/>
  <c r="L12" i="5"/>
  <c r="N12" i="5"/>
  <c r="O12" i="5"/>
  <c r="P30" i="5"/>
  <c r="Y12" i="5" l="1"/>
  <c r="AA12" i="5"/>
  <c r="X12" i="5"/>
  <c r="Z12" i="5"/>
  <c r="AB12" i="5"/>
  <c r="K24" i="5"/>
  <c r="K23" i="5" s="1"/>
  <c r="K7" i="5" s="1"/>
  <c r="K8" i="5" s="1"/>
  <c r="T30" i="5" l="1"/>
  <c r="R30" i="5"/>
  <c r="M30" i="5"/>
  <c r="J30" i="5"/>
  <c r="L10" i="5"/>
  <c r="J52" i="5" l="1"/>
  <c r="J48" i="5"/>
  <c r="J43" i="5"/>
  <c r="J39" i="5"/>
  <c r="J36" i="5" s="1"/>
  <c r="J35" i="5" s="1"/>
  <c r="J29" i="5"/>
  <c r="J28" i="5" s="1"/>
  <c r="J27" i="5"/>
  <c r="J25" i="5" s="1"/>
  <c r="J24" i="5" s="1"/>
  <c r="J19" i="5"/>
  <c r="J18" i="5" s="1"/>
  <c r="J9" i="5" s="1"/>
  <c r="J23" i="5" l="1"/>
  <c r="J7" i="5" s="1"/>
  <c r="J8" i="5" s="1"/>
  <c r="M52" i="5"/>
  <c r="M48" i="5"/>
  <c r="M43" i="5"/>
  <c r="M36" i="5"/>
  <c r="M35" i="5" s="1"/>
  <c r="M28" i="5"/>
  <c r="M25" i="5"/>
  <c r="M18" i="5"/>
  <c r="M9" i="5" s="1"/>
  <c r="R52" i="5"/>
  <c r="R48" i="5"/>
  <c r="R43" i="5"/>
  <c r="R39" i="5"/>
  <c r="R36" i="5" s="1"/>
  <c r="R35" i="5" s="1"/>
  <c r="R28" i="5"/>
  <c r="R25" i="5"/>
  <c r="R18" i="5"/>
  <c r="R9" i="5" s="1"/>
  <c r="R24" i="5" l="1"/>
  <c r="R23" i="5" s="1"/>
  <c r="M24" i="5"/>
  <c r="M23" i="5" s="1"/>
  <c r="M7" i="5" s="1"/>
  <c r="M8" i="5" s="1"/>
  <c r="N8" i="5" s="1"/>
  <c r="R7" i="5" l="1"/>
  <c r="R8" i="5" s="1"/>
  <c r="AD51" i="5" l="1"/>
  <c r="AD40" i="5"/>
  <c r="AD41" i="5"/>
  <c r="AD38" i="5"/>
  <c r="AD37" i="5"/>
  <c r="AD31" i="5"/>
  <c r="AD27" i="5"/>
  <c r="AD20" i="5"/>
  <c r="AD17" i="5"/>
  <c r="AD13" i="5"/>
  <c r="AD10" i="5"/>
  <c r="AD54" i="5"/>
  <c r="AD55" i="5"/>
  <c r="AD56" i="5"/>
  <c r="AD53" i="5"/>
  <c r="N10" i="5" l="1"/>
  <c r="N11" i="5"/>
  <c r="N13" i="5"/>
  <c r="N14" i="5"/>
  <c r="N15" i="5"/>
  <c r="N16" i="5"/>
  <c r="N17" i="5"/>
  <c r="N19" i="5"/>
  <c r="N20" i="5"/>
  <c r="N21" i="5"/>
  <c r="N22" i="5"/>
  <c r="N26" i="5"/>
  <c r="N31" i="5"/>
  <c r="N32" i="5"/>
  <c r="N33" i="5"/>
  <c r="N34" i="5"/>
  <c r="N37" i="5"/>
  <c r="N38" i="5"/>
  <c r="N39" i="5"/>
  <c r="N40" i="5"/>
  <c r="N41" i="5"/>
  <c r="N42" i="5"/>
  <c r="N44" i="5"/>
  <c r="N45" i="5"/>
  <c r="N46" i="5"/>
  <c r="N47" i="5"/>
  <c r="N49" i="5"/>
  <c r="N50" i="5"/>
  <c r="N51" i="5"/>
  <c r="N53" i="5"/>
  <c r="N54" i="5"/>
  <c r="N55" i="5"/>
  <c r="N56" i="5"/>
  <c r="N57" i="5"/>
  <c r="N58" i="5"/>
  <c r="N59" i="5"/>
  <c r="N60" i="5"/>
  <c r="N30" i="5" l="1"/>
  <c r="AD39" i="5" l="1"/>
  <c r="AD36" i="5" s="1"/>
  <c r="V47" i="5" l="1"/>
  <c r="V39" i="5" l="1"/>
  <c r="O39" i="5" s="1"/>
  <c r="V37" i="5"/>
  <c r="Y37" i="5" s="1"/>
  <c r="M61" i="5" l="1"/>
  <c r="M66" i="5" s="1"/>
  <c r="L13" i="5" l="1"/>
  <c r="N52" i="5"/>
  <c r="N48" i="5"/>
  <c r="N43" i="5"/>
  <c r="N18" i="5" l="1"/>
  <c r="N25" i="5"/>
  <c r="N27" i="5"/>
  <c r="N35" i="5"/>
  <c r="N36" i="5"/>
  <c r="N28" i="5"/>
  <c r="N29" i="5"/>
  <c r="N9" i="5" l="1"/>
  <c r="K3" i="5"/>
  <c r="N24" i="5" l="1"/>
  <c r="N23" i="5" l="1"/>
  <c r="AC10" i="5"/>
  <c r="V11" i="5"/>
  <c r="V13" i="5"/>
  <c r="AC13" i="5" s="1"/>
  <c r="V14" i="5"/>
  <c r="O14" i="5" s="1"/>
  <c r="V15" i="5"/>
  <c r="V16" i="5"/>
  <c r="V17" i="5"/>
  <c r="V19" i="5"/>
  <c r="V20" i="5"/>
  <c r="V21" i="5"/>
  <c r="AC14" i="5" l="1"/>
  <c r="AD19" i="5"/>
  <c r="N7" i="5"/>
  <c r="Y15" i="5"/>
  <c r="L39" i="5"/>
  <c r="L40" i="5"/>
  <c r="L27" i="5"/>
  <c r="L26" i="5"/>
  <c r="AD26" i="5" s="1"/>
  <c r="AD25" i="5" s="1"/>
  <c r="P52" i="5" l="1"/>
  <c r="P48" i="5"/>
  <c r="P43" i="5"/>
  <c r="P36" i="5"/>
  <c r="P35" i="5" s="1"/>
  <c r="P28" i="5"/>
  <c r="P25" i="5"/>
  <c r="P18" i="5"/>
  <c r="P9" i="5" s="1"/>
  <c r="P24" i="5" l="1"/>
  <c r="P23" i="5" s="1"/>
  <c r="P7" i="5" s="1"/>
  <c r="P8" i="5" s="1"/>
  <c r="U61" i="5" l="1"/>
  <c r="T48" i="5" l="1"/>
  <c r="W11" i="5"/>
  <c r="O55" i="5"/>
  <c r="O46" i="5"/>
  <c r="O38" i="5"/>
  <c r="O32" i="5"/>
  <c r="O17" i="5"/>
  <c r="R67" i="5"/>
  <c r="W60" i="5"/>
  <c r="V60" i="5"/>
  <c r="O60" i="5"/>
  <c r="L60" i="5"/>
  <c r="W59" i="5"/>
  <c r="V59" i="5"/>
  <c r="O59" i="5"/>
  <c r="L59" i="5"/>
  <c r="W58" i="5"/>
  <c r="V58" i="5"/>
  <c r="O58" i="5"/>
  <c r="W57" i="5"/>
  <c r="V57" i="5"/>
  <c r="O57" i="5"/>
  <c r="L57" i="5"/>
  <c r="W56" i="5"/>
  <c r="V56" i="5"/>
  <c r="O56" i="5"/>
  <c r="L56" i="5"/>
  <c r="W55" i="5"/>
  <c r="V55" i="5"/>
  <c r="L55" i="5"/>
  <c r="W54" i="5"/>
  <c r="V54" i="5"/>
  <c r="O54" i="5"/>
  <c r="L54" i="5"/>
  <c r="W53" i="5"/>
  <c r="V53" i="5"/>
  <c r="O53" i="5"/>
  <c r="L53" i="5"/>
  <c r="T52" i="5"/>
  <c r="W51" i="5"/>
  <c r="V51" i="5"/>
  <c r="AA51" i="5" s="1"/>
  <c r="O51" i="5"/>
  <c r="L51" i="5"/>
  <c r="W50" i="5"/>
  <c r="V50" i="5"/>
  <c r="AD50" i="5" s="1"/>
  <c r="O50" i="5"/>
  <c r="L50" i="5"/>
  <c r="W49" i="5"/>
  <c r="V49" i="5"/>
  <c r="O49" i="5"/>
  <c r="L49" i="5"/>
  <c r="W47" i="5"/>
  <c r="AA47" i="5"/>
  <c r="L47" i="5"/>
  <c r="W46" i="5"/>
  <c r="V46" i="5"/>
  <c r="L46" i="5"/>
  <c r="W45" i="5"/>
  <c r="V45" i="5"/>
  <c r="AA45" i="5" s="1"/>
  <c r="O45" i="5"/>
  <c r="L45" i="5"/>
  <c r="W44" i="5"/>
  <c r="V44" i="5"/>
  <c r="O44" i="5"/>
  <c r="L44" i="5"/>
  <c r="T43" i="5"/>
  <c r="W42" i="5"/>
  <c r="V42" i="5"/>
  <c r="O42" i="5"/>
  <c r="L42" i="5"/>
  <c r="W41" i="5"/>
  <c r="V41" i="5"/>
  <c r="O41" i="5"/>
  <c r="L41" i="5"/>
  <c r="W40" i="5"/>
  <c r="V40" i="5"/>
  <c r="AA40" i="5" s="1"/>
  <c r="O40" i="5"/>
  <c r="W39" i="5"/>
  <c r="W38" i="5"/>
  <c r="V38" i="5"/>
  <c r="Y38" i="5" s="1"/>
  <c r="L38" i="5"/>
  <c r="W37" i="5"/>
  <c r="L37" i="5"/>
  <c r="T36" i="5"/>
  <c r="T35" i="5" s="1"/>
  <c r="W34" i="5"/>
  <c r="V34" i="5"/>
  <c r="O34" i="5" s="1"/>
  <c r="M67" i="5" s="1"/>
  <c r="L34" i="5"/>
  <c r="W33" i="5"/>
  <c r="V33" i="5"/>
  <c r="AA33" i="5" s="1"/>
  <c r="O33" i="5"/>
  <c r="L33" i="5"/>
  <c r="W32" i="5"/>
  <c r="V32" i="5"/>
  <c r="AD32" i="5" s="1"/>
  <c r="L32" i="5"/>
  <c r="W31" i="5"/>
  <c r="V31" i="5"/>
  <c r="O31" i="5"/>
  <c r="L31" i="5"/>
  <c r="W29" i="5"/>
  <c r="V29" i="5"/>
  <c r="O29" i="5"/>
  <c r="O28" i="5" s="1"/>
  <c r="L29" i="5"/>
  <c r="L28" i="5" s="1"/>
  <c r="W27" i="5"/>
  <c r="V27" i="5"/>
  <c r="AA27" i="5" s="1"/>
  <c r="O27" i="5"/>
  <c r="W26" i="5"/>
  <c r="V26" i="5"/>
  <c r="O26" i="5"/>
  <c r="T25" i="5"/>
  <c r="L25" i="5"/>
  <c r="V22" i="5"/>
  <c r="X22" i="5" s="1"/>
  <c r="O22" i="5"/>
  <c r="L22" i="5"/>
  <c r="W21" i="5"/>
  <c r="Z21" i="5"/>
  <c r="O21" i="5"/>
  <c r="L21" i="5"/>
  <c r="W20" i="5"/>
  <c r="O20" i="5"/>
  <c r="AC20" i="5" s="1"/>
  <c r="L20" i="5"/>
  <c r="W19" i="5"/>
  <c r="Y19" i="5"/>
  <c r="L19" i="5"/>
  <c r="W18" i="5"/>
  <c r="W17" i="5"/>
  <c r="Z17" i="5"/>
  <c r="L17" i="5"/>
  <c r="W16" i="5"/>
  <c r="Z16" i="5"/>
  <c r="O16" i="5"/>
  <c r="L16" i="5"/>
  <c r="W15" i="5"/>
  <c r="AD15" i="5"/>
  <c r="O15" i="5"/>
  <c r="AC15" i="5" s="1"/>
  <c r="L15" i="5"/>
  <c r="W14" i="5"/>
  <c r="L14" i="5"/>
  <c r="AC11" i="5"/>
  <c r="L11" i="5"/>
  <c r="W10" i="5"/>
  <c r="AC56" i="5" l="1"/>
  <c r="AC42" i="5"/>
  <c r="AC54" i="5"/>
  <c r="AC53" i="5"/>
  <c r="AC49" i="5"/>
  <c r="AC33" i="5"/>
  <c r="AC60" i="5"/>
  <c r="AC51" i="5"/>
  <c r="T24" i="5"/>
  <c r="W24" i="5" s="1"/>
  <c r="AC50" i="5"/>
  <c r="AB27" i="5"/>
  <c r="L30" i="5"/>
  <c r="L24" i="5" s="1"/>
  <c r="O30" i="5"/>
  <c r="Z31" i="5"/>
  <c r="V30" i="5"/>
  <c r="AD34" i="5"/>
  <c r="AA54" i="5"/>
  <c r="AD59" i="5"/>
  <c r="Z55" i="5"/>
  <c r="AD44" i="5"/>
  <c r="Z53" i="5"/>
  <c r="AD33" i="5"/>
  <c r="AA29" i="5"/>
  <c r="AD29" i="5"/>
  <c r="AD28" i="5" s="1"/>
  <c r="Y40" i="5"/>
  <c r="AC57" i="5"/>
  <c r="L43" i="5"/>
  <c r="AC41" i="5"/>
  <c r="W43" i="5"/>
  <c r="AC40" i="5"/>
  <c r="X40" i="5"/>
  <c r="AA32" i="5"/>
  <c r="AC32" i="5"/>
  <c r="X27" i="5"/>
  <c r="AC45" i="5"/>
  <c r="Z51" i="5"/>
  <c r="AC31" i="5"/>
  <c r="AC38" i="5"/>
  <c r="AC47" i="5"/>
  <c r="AC27" i="5"/>
  <c r="AC46" i="5"/>
  <c r="AC55" i="5"/>
  <c r="X33" i="5"/>
  <c r="L52" i="5"/>
  <c r="L18" i="5"/>
  <c r="L9" i="5" s="1"/>
  <c r="L48" i="5"/>
  <c r="L36" i="5"/>
  <c r="L35" i="5" s="1"/>
  <c r="Z50" i="5"/>
  <c r="AB58" i="5"/>
  <c r="AB59" i="5"/>
  <c r="AB39" i="5"/>
  <c r="AB56" i="5"/>
  <c r="O43" i="5"/>
  <c r="X14" i="5"/>
  <c r="V28" i="5"/>
  <c r="Y45" i="5"/>
  <c r="AB57" i="5"/>
  <c r="Z14" i="5"/>
  <c r="AB33" i="5"/>
  <c r="X39" i="5"/>
  <c r="Y33" i="5"/>
  <c r="Z57" i="5"/>
  <c r="AD14" i="5"/>
  <c r="Z44" i="5"/>
  <c r="AA38" i="5"/>
  <c r="AA56" i="5"/>
  <c r="X56" i="5"/>
  <c r="AA53" i="5"/>
  <c r="X53" i="5"/>
  <c r="W48" i="5"/>
  <c r="Z45" i="5"/>
  <c r="AD45" i="5"/>
  <c r="Y31" i="5"/>
  <c r="V25" i="5"/>
  <c r="X26" i="5"/>
  <c r="X19" i="5"/>
  <c r="AB50" i="5"/>
  <c r="AB34" i="5"/>
  <c r="O19" i="5"/>
  <c r="AC19" i="5" s="1"/>
  <c r="AB14" i="5"/>
  <c r="AB11" i="5"/>
  <c r="Y54" i="5"/>
  <c r="W9" i="5"/>
  <c r="W13" i="5"/>
  <c r="Y53" i="5"/>
  <c r="X51" i="5"/>
  <c r="Y51" i="5"/>
  <c r="AB51" i="5"/>
  <c r="AD48" i="5"/>
  <c r="AB47" i="5"/>
  <c r="Z42" i="5"/>
  <c r="AB42" i="5"/>
  <c r="AD42" i="5"/>
  <c r="AD35" i="5" s="1"/>
  <c r="X42" i="5"/>
  <c r="W36" i="5"/>
  <c r="X38" i="5"/>
  <c r="X37" i="5"/>
  <c r="Z37" i="5"/>
  <c r="AA37" i="5"/>
  <c r="AB32" i="5"/>
  <c r="Y32" i="5"/>
  <c r="Z32" i="5"/>
  <c r="X32" i="5"/>
  <c r="W30" i="5"/>
  <c r="AA31" i="5"/>
  <c r="W28" i="5"/>
  <c r="W25" i="5"/>
  <c r="Y27" i="5"/>
  <c r="Y26" i="5"/>
  <c r="Z26" i="5"/>
  <c r="AA26" i="5"/>
  <c r="AA21" i="5"/>
  <c r="X21" i="5"/>
  <c r="Y21" i="5"/>
  <c r="AB21" i="5"/>
  <c r="AA19" i="5"/>
  <c r="Y16" i="5"/>
  <c r="AB16" i="5"/>
  <c r="Y10" i="5"/>
  <c r="O48" i="5"/>
  <c r="O37" i="5"/>
  <c r="AC29" i="5"/>
  <c r="AB29" i="5"/>
  <c r="O25" i="5"/>
  <c r="AB26" i="5"/>
  <c r="AC26" i="5"/>
  <c r="AC21" i="5"/>
  <c r="AC17" i="5"/>
  <c r="AA11" i="5"/>
  <c r="X11" i="5"/>
  <c r="AD46" i="5"/>
  <c r="Y46" i="5"/>
  <c r="X46" i="5"/>
  <c r="AB46" i="5"/>
  <c r="AA46" i="5"/>
  <c r="Y20" i="5"/>
  <c r="X20" i="5"/>
  <c r="V18" i="5"/>
  <c r="V9" i="5" s="1"/>
  <c r="AB20" i="5"/>
  <c r="AA20" i="5"/>
  <c r="P61" i="5"/>
  <c r="AB22" i="5"/>
  <c r="Z22" i="5"/>
  <c r="Y11" i="5"/>
  <c r="X17" i="5"/>
  <c r="AB17" i="5"/>
  <c r="AA17" i="5"/>
  <c r="AB41" i="5"/>
  <c r="Z41" i="5"/>
  <c r="X41" i="5"/>
  <c r="V36" i="5"/>
  <c r="Z46" i="5"/>
  <c r="J61" i="5"/>
  <c r="K61" i="5"/>
  <c r="K67" i="5" s="1"/>
  <c r="W52" i="5"/>
  <c r="Y55" i="5"/>
  <c r="X55" i="5"/>
  <c r="AB55" i="5"/>
  <c r="AA55" i="5"/>
  <c r="AB15" i="5"/>
  <c r="AA16" i="5"/>
  <c r="X16" i="5"/>
  <c r="AC16" i="5"/>
  <c r="Z20" i="5"/>
  <c r="AB10" i="5"/>
  <c r="Z11" i="5"/>
  <c r="Y17" i="5"/>
  <c r="O52" i="5"/>
  <c r="Z10" i="5"/>
  <c r="Z15" i="5"/>
  <c r="Z27" i="5"/>
  <c r="AB31" i="5"/>
  <c r="X34" i="5"/>
  <c r="Z40" i="5"/>
  <c r="AB44" i="5"/>
  <c r="V48" i="5"/>
  <c r="AA48" i="5" s="1"/>
  <c r="X49" i="5"/>
  <c r="AB53" i="5"/>
  <c r="X58" i="5"/>
  <c r="X60" i="5"/>
  <c r="AD60" i="5"/>
  <c r="AA10" i="5"/>
  <c r="AA15" i="5"/>
  <c r="Z19" i="5"/>
  <c r="Z33" i="5"/>
  <c r="Z38" i="5"/>
  <c r="X47" i="5"/>
  <c r="V52" i="5"/>
  <c r="Y56" i="5"/>
  <c r="Z59" i="5"/>
  <c r="X29" i="5"/>
  <c r="AB40" i="5"/>
  <c r="Y47" i="5"/>
  <c r="Z54" i="5"/>
  <c r="Y29" i="5"/>
  <c r="W35" i="5"/>
  <c r="AB38" i="5"/>
  <c r="V43" i="5"/>
  <c r="AA43" i="5" s="1"/>
  <c r="AD47" i="5"/>
  <c r="Z49" i="5"/>
  <c r="X57" i="5"/>
  <c r="AD57" i="5"/>
  <c r="Z58" i="5"/>
  <c r="Z60" i="5"/>
  <c r="X10" i="5"/>
  <c r="X15" i="5"/>
  <c r="Z29" i="5"/>
  <c r="X31" i="5"/>
  <c r="Z34" i="5"/>
  <c r="Z39" i="5"/>
  <c r="X44" i="5"/>
  <c r="AB45" i="5"/>
  <c r="AB49" i="5"/>
  <c r="X50" i="5"/>
  <c r="AB54" i="5"/>
  <c r="Z56" i="5"/>
  <c r="AB60" i="5"/>
  <c r="Z47" i="5"/>
  <c r="X45" i="5"/>
  <c r="X54" i="5"/>
  <c r="X59" i="5"/>
  <c r="O24" i="5" l="1"/>
  <c r="AC52" i="5"/>
  <c r="V24" i="5"/>
  <c r="AD43" i="5"/>
  <c r="AD30" i="5"/>
  <c r="AD24" i="5" s="1"/>
  <c r="AD18" i="5"/>
  <c r="AD9" i="5" s="1"/>
  <c r="AD52" i="5"/>
  <c r="T23" i="5"/>
  <c r="T7" i="5" s="1"/>
  <c r="T61" i="5" s="1"/>
  <c r="AC43" i="5"/>
  <c r="AC30" i="5"/>
  <c r="AC48" i="5"/>
  <c r="AB37" i="5"/>
  <c r="AC37" i="5"/>
  <c r="O18" i="5"/>
  <c r="O9" i="5" s="1"/>
  <c r="L23" i="5"/>
  <c r="L7" i="5"/>
  <c r="L8" i="5" s="1"/>
  <c r="Q61" i="5"/>
  <c r="AA28" i="5"/>
  <c r="X13" i="5"/>
  <c r="R61" i="5"/>
  <c r="Z28" i="5"/>
  <c r="AC28" i="5"/>
  <c r="AB28" i="5"/>
  <c r="X28" i="5"/>
  <c r="Y28" i="5"/>
  <c r="AA30" i="5"/>
  <c r="AB13" i="5"/>
  <c r="AB30" i="5"/>
  <c r="AA13" i="5"/>
  <c r="AB25" i="5"/>
  <c r="Y25" i="5"/>
  <c r="X25" i="5"/>
  <c r="AA25" i="5"/>
  <c r="Z25" i="5"/>
  <c r="AC25" i="5"/>
  <c r="Z13" i="5"/>
  <c r="AB19" i="5"/>
  <c r="Y13" i="5"/>
  <c r="Y30" i="5"/>
  <c r="X30" i="5"/>
  <c r="Z30" i="5"/>
  <c r="O36" i="5"/>
  <c r="Y36" i="5"/>
  <c r="X36" i="5"/>
  <c r="V35" i="5"/>
  <c r="AA36" i="5"/>
  <c r="Z36" i="5"/>
  <c r="AA18" i="5"/>
  <c r="Z18" i="5"/>
  <c r="Y18" i="5"/>
  <c r="X18" i="5"/>
  <c r="Y48" i="5"/>
  <c r="X48" i="5"/>
  <c r="AB48" i="5"/>
  <c r="Z48" i="5"/>
  <c r="Y52" i="5"/>
  <c r="X52" i="5"/>
  <c r="AB52" i="5"/>
  <c r="AA52" i="5"/>
  <c r="Z52" i="5"/>
  <c r="AB43" i="5"/>
  <c r="Z43" i="5"/>
  <c r="Y43" i="5"/>
  <c r="X43" i="5"/>
  <c r="AD23" i="5" l="1"/>
  <c r="AD7" i="5" s="1"/>
  <c r="AD8" i="5" s="1"/>
  <c r="N61" i="5"/>
  <c r="AC18" i="5"/>
  <c r="AB18" i="5"/>
  <c r="O35" i="5"/>
  <c r="AC35" i="5" s="1"/>
  <c r="AC36" i="5"/>
  <c r="L61" i="5"/>
  <c r="L66" i="5" s="1"/>
  <c r="Z24" i="5"/>
  <c r="AA24" i="5"/>
  <c r="Y24" i="5"/>
  <c r="V23" i="5"/>
  <c r="X24" i="5"/>
  <c r="AB36" i="5"/>
  <c r="AB24" i="5"/>
  <c r="AC24" i="5"/>
  <c r="W7" i="5"/>
  <c r="T8" i="5"/>
  <c r="W23" i="5"/>
  <c r="Z9" i="5"/>
  <c r="X9" i="5"/>
  <c r="AC9" i="5"/>
  <c r="Y9" i="5"/>
  <c r="AB9" i="5"/>
  <c r="AA9" i="5"/>
  <c r="AA35" i="5"/>
  <c r="Z35" i="5"/>
  <c r="Y35" i="5"/>
  <c r="X35" i="5"/>
  <c r="AD61" i="5" l="1"/>
  <c r="O23" i="5"/>
  <c r="O7" i="5" s="1"/>
  <c r="AB35" i="5"/>
  <c r="AA23" i="5"/>
  <c r="V7" i="5"/>
  <c r="AA7" i="5" s="1"/>
  <c r="Y23" i="5"/>
  <c r="Z23" i="5"/>
  <c r="X23" i="5"/>
  <c r="W8" i="5"/>
  <c r="W61" i="5"/>
  <c r="O8" i="5" l="1"/>
  <c r="AB7" i="5"/>
  <c r="V8" i="5"/>
  <c r="Z8" i="5" s="1"/>
  <c r="AC23" i="5"/>
  <c r="O61" i="5"/>
  <c r="P3" i="5" s="1"/>
  <c r="AB23" i="5"/>
  <c r="X7" i="5"/>
  <c r="Z7" i="5"/>
  <c r="Y7" i="5"/>
  <c r="AC7" i="5"/>
  <c r="V61" i="5"/>
  <c r="AC61" i="5" l="1"/>
  <c r="AA61" i="5"/>
  <c r="Z61" i="5"/>
  <c r="AB8" i="5"/>
  <c r="Y8" i="5"/>
  <c r="AC8" i="5"/>
  <c r="X8" i="5"/>
  <c r="AA8" i="5"/>
  <c r="Y61" i="5"/>
  <c r="AB61" i="5"/>
  <c r="X61" i="5"/>
</calcChain>
</file>

<file path=xl/sharedStrings.xml><?xml version="1.0" encoding="utf-8"?>
<sst xmlns="http://schemas.openxmlformats.org/spreadsheetml/2006/main" count="109" uniqueCount="101">
  <si>
    <t>21900000 ВОЗВРАТ ОСТАТКОВ СУБСИДИЙ, СУБВЕНЦИЙ И ИНЫХ МЕЖБЮДЖЕТНЫХ ТРАНСФЕРТОВ, ИМЕЮЩИХ ЦЕЛЕВОЕ НАЗНАЧЕНИЕ, ПРОШЛЫХ ЛЕТ</t>
  </si>
  <si>
    <t>20000000 БЕЗВОЗМЕЗДНЫЕ ПОСТУПЛЕНИЯ</t>
  </si>
  <si>
    <t>20700000 ПРОЧИЕ БЕЗВОЗМЕЗДНЫЕ ПОСТУПЛЕНИЯ</t>
  </si>
  <si>
    <t>20240000 Иные межбюджетные трансферты</t>
  </si>
  <si>
    <t>20230000 Субвенции бюджетам бюджетной системы Российской Федерации</t>
  </si>
  <si>
    <t>20220000 Субсидии бюджетам бюджетной системы Российской Федерации (межбюджетные субсидии)</t>
  </si>
  <si>
    <t>20210000 Дотации бюджетам бюджетной системы Российской Федерации</t>
  </si>
  <si>
    <t>11700000 ПРОЧИЕ НЕНАЛОГОВЫЕ ДОХОДЫ</t>
  </si>
  <si>
    <t>10000000 НАЛОГОВЫЕ И НЕНАЛОГОВЫЕ ДОХОДЫ</t>
  </si>
  <si>
    <t>11600000 ШТРАФЫ, САНКЦИИ, ВОЗМЕЩЕНИЕ УЩЕРБА</t>
  </si>
  <si>
    <t>11406000 Доходы от продажи земельных участков, находящихся в государственной и муниципальной собственности</t>
  </si>
  <si>
    <t>11400000 ДОХОДЫ ОТ ПРОДАЖИ МАТЕРИАЛЬНЫХ И НЕМАТЕРИАЛЬНЫХ АКТИВОВ</t>
  </si>
  <si>
    <t>11302000 Доходы от компенсации затрат государства</t>
  </si>
  <si>
    <t>11300000 ДОХОДЫ ОТ ОКАЗАНИЯ ПЛАТНЫХ УСЛУГ (РАБОТ) И КОМПЕНСАЦИИ ЗАТРАТ ГОСУДАРСТВА</t>
  </si>
  <si>
    <t>11201000 Плата за негативное воздействие на окружающую среду</t>
  </si>
  <si>
    <t>11100000 ДОХОДЫ ОТ ИСПОЛЬЗОВАНИЯ ИМУЩЕСТВА, НАХОДЯЩЕГОСЯ В ГОСУДАРСТВЕННОЙ И МУНИЦИПАЛЬНОЙ СОБСТВЕННОСТИ</t>
  </si>
  <si>
    <t>10800000 ГОСУДАРСТВЕННАЯ ПОШЛИНА</t>
  </si>
  <si>
    <t>10606000 Земельный налог</t>
  </si>
  <si>
    <t>10600000 НАЛОГИ НА ИМУЩЕСТВО</t>
  </si>
  <si>
    <t>10601000 Налог на имущество физических лиц</t>
  </si>
  <si>
    <t>10504000 Налог, взимаемый в связи с применением патентной системы налогообложения</t>
  </si>
  <si>
    <t>10503000 Единый сельскохозяйственный налог</t>
  </si>
  <si>
    <t>10502000 Единый налог на вмененный доход для отдельных видов деятельности</t>
  </si>
  <si>
    <t>10302000 Акцизы по подакцизным товарам (продукции), производимым на территории Российской Федерации</t>
  </si>
  <si>
    <t>10102000 Налог на доходы физических лиц</t>
  </si>
  <si>
    <t>Код дохода</t>
  </si>
  <si>
    <t>КД</t>
  </si>
  <si>
    <t>КД5 Х.ХХ.ХХ.ХХХ</t>
  </si>
  <si>
    <t>КД4</t>
  </si>
  <si>
    <t>КД3</t>
  </si>
  <si>
    <t>КД2</t>
  </si>
  <si>
    <t>КД1</t>
  </si>
  <si>
    <t>Наименование показателя</t>
  </si>
  <si>
    <t xml:space="preserve">11402000 Доходы от реализации имущества, находящегося в государственной и муниципальной собственности </t>
  </si>
  <si>
    <t>сумма</t>
  </si>
  <si>
    <t>%</t>
  </si>
  <si>
    <t>Л.В. Кузнецова</t>
  </si>
  <si>
    <t>21800000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</si>
  <si>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начальник ФУ АБГО СК</t>
  </si>
  <si>
    <t>откл.+- недели Т/П</t>
  </si>
  <si>
    <t>10501000 Налог, взимаемый в связи с применением упрощенной системы налогообложения</t>
  </si>
  <si>
    <t>11715000 Инициативные платежи</t>
  </si>
  <si>
    <t xml:space="preserve">Заместитель главы администрации - </t>
  </si>
  <si>
    <t>исполнение за неделю</t>
  </si>
  <si>
    <t>10900000 ЗАДОЛЖЕННОСТЬ И ПЕРЕРАСЧЕТЫ ПО ОТМЕНЕННЫМ НАЛОГАМ, СБОРАМ И ИНЫМ ОБЯЗАТЕЛЬНЫМ ПЛАТЕЖАМ</t>
  </si>
  <si>
    <t>(рублей)</t>
  </si>
  <si>
    <t>11301000 Доходы от оказания платных услуг (работ), в т.ч.:</t>
  </si>
  <si>
    <t xml:space="preserve"> НАЛОГОВЫЕ И
 НЕНАЛОГОВЫЕ ДОХОДЫ БЕЗ ПЛАТНЫХ УСЛУГ  И КОМПЕНСАЦИИ ЗАТРАТ ГОСУДАРСТВА И БЕЗ ИНИЦИАТИВНЫХ ПЛАТЕЖЕЙ</t>
  </si>
  <si>
    <t>20800000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</t>
  </si>
  <si>
    <t>НАЛОГОВЫЕ ДОХОДЫ, в т.ч.:</t>
  </si>
  <si>
    <t>НЕНАЛОГОВЫЕ ДОХОДЫ, в т.ч.: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</si>
  <si>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участков, в т.ч.:</t>
  </si>
  <si>
    <r>
      <rPr>
        <b/>
        <sz val="14"/>
        <rFont val="Times New Roman"/>
        <family val="1"/>
        <charset val="204"/>
      </rPr>
      <t>011</t>
    </r>
    <r>
      <rPr>
        <sz val="14"/>
        <rFont val="Times New Roman"/>
        <family val="1"/>
        <charset val="204"/>
      </rPr>
      <t xml:space="preserve"> Министерство имущественных отношений Ставропольского края</t>
    </r>
  </si>
  <si>
    <t xml:space="preserve">Доходы от сдачи в аренду имущества, находящегося в оперативном управлении органов управления городских округов и созданных ими учреждений, в т.ч.: </t>
  </si>
  <si>
    <t>=</t>
  </si>
  <si>
    <t>11109000 Прочие доходы от использования имущества и прав, находящихся в государственной и муниципальной собственности, в т.ч.:</t>
  </si>
  <si>
    <t>11701000 Невыясненные поступления</t>
  </si>
  <si>
    <r>
      <rPr>
        <b/>
        <sz val="14"/>
        <rFont val="Times New Roman"/>
        <family val="1"/>
        <charset val="204"/>
      </rPr>
      <t>702</t>
    </r>
    <r>
      <rPr>
        <sz val="14"/>
        <rFont val="Times New Roman"/>
        <family val="1"/>
        <charset val="204"/>
      </rPr>
      <t xml:space="preserve"> Управление АГИиЗО АБГО СК</t>
    </r>
  </si>
  <si>
    <r>
      <rPr>
        <b/>
        <sz val="14"/>
        <rFont val="Times New Roman"/>
        <family val="1"/>
        <charset val="204"/>
      </rPr>
      <t>702</t>
    </r>
    <r>
      <rPr>
        <sz val="14"/>
        <rFont val="Times New Roman"/>
        <family val="1"/>
        <charset val="204"/>
      </rPr>
      <t xml:space="preserve"> Управление АГИиЗО АБГО СК (прочие поступления от использования имущ-ва, находящегося в собственности ГО)</t>
    </r>
  </si>
  <si>
    <r>
      <rPr>
        <b/>
        <sz val="14"/>
        <rFont val="Times New Roman"/>
        <family val="1"/>
        <charset val="204"/>
      </rPr>
      <t>702</t>
    </r>
    <r>
      <rPr>
        <sz val="14"/>
        <rFont val="Times New Roman"/>
        <family val="1"/>
        <charset val="204"/>
      </rPr>
      <t xml:space="preserve"> Управление АГИиЗО АБГО СК (установка и эксплуатация рекламных конструкций)</t>
    </r>
  </si>
  <si>
    <t>701 1 13 01994 14 2000 130</t>
  </si>
  <si>
    <t>706 1 13 01994 14 2000 130</t>
  </si>
  <si>
    <t>707 1 13 01994 14 2000 130</t>
  </si>
  <si>
    <t>711 1 13 01994 14 2000 130</t>
  </si>
  <si>
    <t>744 1 13 01994 14 0000 130</t>
  </si>
  <si>
    <t>в т.ч. 701 Администрация БМО СК</t>
  </si>
  <si>
    <t>Исполнено с 01.01.2023 года по 06.06.2023 год (в сопоставимых условиях 2024 года)     (31,84%)</t>
  </si>
  <si>
    <t>начальник ФУ АБМО СК</t>
  </si>
  <si>
    <r>
      <t xml:space="preserve">11705000 Прочие неналоговые доходы </t>
    </r>
    <r>
      <rPr>
        <b/>
        <sz val="14"/>
        <rFont val="Times New Roman"/>
        <family val="1"/>
        <charset val="204"/>
      </rPr>
      <t>(торговые места+семейное захоронение)</t>
    </r>
  </si>
  <si>
    <r>
      <rPr>
        <b/>
        <sz val="14"/>
        <rFont val="Times New Roman"/>
        <family val="1"/>
        <charset val="204"/>
      </rPr>
      <t>702</t>
    </r>
    <r>
      <rPr>
        <sz val="14"/>
        <rFont val="Times New Roman"/>
        <family val="1"/>
        <charset val="204"/>
      </rPr>
      <t xml:space="preserve"> Управление АГЗиИО АБМО СК</t>
    </r>
  </si>
  <si>
    <t xml:space="preserve">Земельный налог с организаций, обладающих земельным участком, расположенным в границах муниципальных округов </t>
  </si>
  <si>
    <t xml:space="preserve">Земельный налог с физических лиц, обладающих земельным участком, расположенным в границах муниципальных округов </t>
  </si>
  <si>
    <r>
      <t xml:space="preserve">701 </t>
    </r>
    <r>
      <rPr>
        <sz val="14"/>
        <rFont val="Times New Roman"/>
        <family val="1"/>
        <charset val="204"/>
      </rPr>
      <t xml:space="preserve"> АБГО СК (размещение и эксплуатация нестационарного торгового объекта)</t>
    </r>
  </si>
  <si>
    <t>ОЖИДАЕМОЕ в 2025 году</t>
  </si>
  <si>
    <t>План по доходам с учетом изменений на 2025 г</t>
  </si>
  <si>
    <t>ФАКТ за 2025 г</t>
  </si>
  <si>
    <t>откл за отч период к  плану 2025 года</t>
  </si>
  <si>
    <r>
      <t xml:space="preserve">ФАКТ за 2025 г (в сопоставимых условиях 2026 года)   
 </t>
    </r>
    <r>
      <rPr>
        <b/>
        <sz val="14"/>
        <rFont val="Times New Roman"/>
        <family val="1"/>
        <charset val="204"/>
      </rPr>
      <t xml:space="preserve"> (53,20%)</t>
    </r>
  </si>
  <si>
    <t>План по доходам на 2026 г (уточненный)</t>
  </si>
  <si>
    <t>План по доходам на 2026 г (первоначальный)</t>
  </si>
  <si>
    <t>10303000 Туристический налог</t>
  </si>
  <si>
    <t>откл.+- от уточненного годового плана 2026 г</t>
  </si>
  <si>
    <t xml:space="preserve">В результате проведенных аукционов снизилось количество обращений граждан на заключения договоров аренды имущества
</t>
  </si>
  <si>
    <t xml:space="preserve">В результате поступления уведомлений на уменьшение сумм платежей, в связи с переплатой авансовых платежей в 2025 году (октябрь) - ООО "АгроПромЭнерго" и изменения срока уплаты платежей по итогу года (перенос с 28 февр. на 02 марта)
</t>
  </si>
  <si>
    <t>Исполняющий обязанности начальника</t>
  </si>
  <si>
    <t xml:space="preserve">финансового управления АБМО СК, начальник отдела правового и информационного обеспечения финансового управления АБМО СК </t>
  </si>
  <si>
    <t>И.П. Анисимова</t>
  </si>
  <si>
    <t>Отсутствие уплаты текущих начислений по сроку 28.04.2026 г. по ряду налогоплательщиков (3 552,00 тыс. рублей)</t>
  </si>
  <si>
    <t xml:space="preserve">1) Т.к. срок уплаты авнсовых платежей пришелся в 2024 году на выходной день (29.12.2024) - зачисление сумм прошло в январе 2025 года;
2) Проведение зачетов с налога на ЕНП, в связи с предоставлением уведомлений об уменьшении патента на сумму страховых взносов;
3) Снижение кол-ва выданных патентов на 2026 г на 36,6% или 277 ед., в результате сумма исчисленного налога по сроку 01.04.2026 снизилась на 1 138 тыс. рублей.  </t>
  </si>
  <si>
    <t xml:space="preserve">1) Снижение поступлений в счет погашения задолженности;
2) Проведение зачетов с налога на ЕНП, в результате пересчетов "к уменьшению" за предыдущ. налоговые периоды  (2022-2024 гг) по ряду налогоплательщ. (22,00 тыс. руб.)
</t>
  </si>
  <si>
    <t xml:space="preserve">1) Снижение поступлений в счет погашения задолженности;
2) Проведение зачетов с налога на ЕНП, в результате пересчетов "к уменьшению" за предыдущ. налоговые периоды  (2022-2024 гг) по ряду налогоплательщ. (59,00 тыс. руб.)
</t>
  </si>
  <si>
    <t>В результате увеличения реализации с/х продукции НП ООО "Спасское"</t>
  </si>
  <si>
    <t>откл.+- от плана за 9 месяцев 2026 года</t>
  </si>
  <si>
    <t>Исполнено с 01.01.2025 по 24.09.2025 год</t>
  </si>
  <si>
    <r>
      <t>Исполнено с 01.01.2025 года по 24.09.2025 год (в сопоставимых условиях 2026 года)</t>
    </r>
    <r>
      <rPr>
        <b/>
        <sz val="14"/>
        <rFont val="Times New Roman"/>
        <family val="1"/>
        <charset val="204"/>
      </rPr>
      <t xml:space="preserve">     (53,20%)</t>
    </r>
  </si>
  <si>
    <t>с 11.09.2026 по 17.09.2026 (неделя) П</t>
  </si>
  <si>
    <t>с 18.09.2026 по 24.09.2026 (неделя) Т</t>
  </si>
  <si>
    <t>Исполнение с 01.01.2026 по 17.09.2026
(52,50%)</t>
  </si>
  <si>
    <r>
      <t xml:space="preserve">Исполнение с 01.01.2026 по 24.09.2026
</t>
    </r>
    <r>
      <rPr>
        <b/>
        <sz val="14"/>
        <rFont val="Times New Roman"/>
        <family val="1"/>
        <charset val="204"/>
      </rPr>
      <t>(52,50%)</t>
    </r>
  </si>
  <si>
    <t>откл.+- от исполнения на 24.09.2025 г  (в сопоставимых условиях 2026 года)</t>
  </si>
  <si>
    <t>Исполнение бюджета Благодарненского муниципального округа Ставропольского края по доходам по состоянию на 24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</si>
</sst>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\-#,##0.00;0.00"/>
    <numFmt numFmtId="165" formatCode="#,##0.00_ ;[Red]\-#,##0.00\ 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0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rgb="FF7030A0"/>
      <name val="Times New Roman"/>
      <family val="1"/>
      <charset val="204"/>
    </font>
    <font>
      <sz val="10"/>
      <name val="Arial"/>
      <family val="2"/>
      <charset val="204"/>
    </font>
    <font>
      <sz val="10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7" fillId="0" borderId="0"/>
    <xf numFmtId="0" fontId="28" fillId="0" borderId="0"/>
    <xf numFmtId="0" fontId="30" fillId="0" borderId="0"/>
  </cellStyleXfs>
  <cellXfs count="140">
    <xf numFmtId="0" fontId="0" fillId="0" borderId="0" xfId="0"/>
    <xf numFmtId="0" fontId="1" fillId="0" borderId="0" xfId="1"/>
    <xf numFmtId="0" fontId="2" fillId="0" borderId="0" xfId="1" applyFont="1" applyProtection="1">
      <protection hidden="1"/>
    </xf>
    <xf numFmtId="0" fontId="1" fillId="0" borderId="0" xfId="1" applyAlignment="1" applyProtection="1">
      <alignment vertical="top"/>
      <protection hidden="1"/>
    </xf>
    <xf numFmtId="0" fontId="4" fillId="0" borderId="0" xfId="1" applyFont="1" applyProtection="1">
      <protection hidden="1"/>
    </xf>
    <xf numFmtId="0" fontId="4" fillId="0" borderId="0" xfId="1" applyFont="1"/>
    <xf numFmtId="0" fontId="4" fillId="0" borderId="1" xfId="1" applyFont="1" applyBorder="1" applyAlignment="1" applyProtection="1">
      <alignment horizontal="center"/>
      <protection hidden="1"/>
    </xf>
    <xf numFmtId="0" fontId="4" fillId="0" borderId="0" xfId="1" applyFont="1" applyAlignment="1" applyProtection="1">
      <alignment horizontal="centerContinuous" vertical="center"/>
      <protection hidden="1"/>
    </xf>
    <xf numFmtId="0" fontId="4" fillId="0" borderId="1" xfId="1" applyFont="1" applyBorder="1" applyProtection="1">
      <protection hidden="1"/>
    </xf>
    <xf numFmtId="0" fontId="3" fillId="0" borderId="0" xfId="1" applyFont="1" applyProtection="1">
      <protection hidden="1"/>
    </xf>
    <xf numFmtId="0" fontId="3" fillId="0" borderId="0" xfId="1" applyFont="1"/>
    <xf numFmtId="0" fontId="3" fillId="0" borderId="1" xfId="1" applyFont="1" applyBorder="1" applyAlignment="1" applyProtection="1">
      <alignment horizontal="center"/>
      <protection hidden="1"/>
    </xf>
    <xf numFmtId="164" fontId="3" fillId="0" borderId="1" xfId="1" applyNumberFormat="1" applyFont="1" applyBorder="1" applyAlignment="1" applyProtection="1">
      <alignment horizontal="right"/>
      <protection hidden="1"/>
    </xf>
    <xf numFmtId="164" fontId="4" fillId="0" borderId="1" xfId="1" applyNumberFormat="1" applyFont="1" applyBorder="1" applyAlignment="1" applyProtection="1">
      <alignment horizontal="right"/>
      <protection hidden="1"/>
    </xf>
    <xf numFmtId="165" fontId="1" fillId="0" borderId="0" xfId="1" applyNumberFormat="1"/>
    <xf numFmtId="164" fontId="4" fillId="3" borderId="1" xfId="1" applyNumberFormat="1" applyFont="1" applyFill="1" applyBorder="1" applyAlignment="1" applyProtection="1">
      <alignment horizontal="right"/>
      <protection hidden="1"/>
    </xf>
    <xf numFmtId="165" fontId="4" fillId="0" borderId="0" xfId="1" applyNumberFormat="1" applyFont="1"/>
    <xf numFmtId="0" fontId="4" fillId="3" borderId="0" xfId="1" applyFont="1" applyFill="1" applyProtection="1">
      <protection hidden="1"/>
    </xf>
    <xf numFmtId="0" fontId="4" fillId="3" borderId="1" xfId="1" applyFont="1" applyFill="1" applyBorder="1" applyAlignment="1" applyProtection="1">
      <alignment horizontal="left" wrapText="1"/>
      <protection hidden="1"/>
    </xf>
    <xf numFmtId="0" fontId="4" fillId="3" borderId="1" xfId="1" applyFont="1" applyFill="1" applyBorder="1" applyAlignment="1" applyProtection="1">
      <alignment horizontal="right" wrapText="1"/>
      <protection hidden="1"/>
    </xf>
    <xf numFmtId="0" fontId="4" fillId="3" borderId="0" xfId="1" applyFont="1" applyFill="1"/>
    <xf numFmtId="164" fontId="7" fillId="0" borderId="1" xfId="1" applyNumberFormat="1" applyFont="1" applyBorder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164" fontId="4" fillId="7" borderId="1" xfId="1" applyNumberFormat="1" applyFont="1" applyFill="1" applyBorder="1" applyAlignment="1" applyProtection="1">
      <alignment horizontal="right"/>
      <protection hidden="1"/>
    </xf>
    <xf numFmtId="0" fontId="4" fillId="0" borderId="5" xfId="1" applyFont="1" applyBorder="1" applyAlignment="1" applyProtection="1">
      <alignment horizontal="center" vertical="center"/>
      <protection hidden="1"/>
    </xf>
    <xf numFmtId="0" fontId="4" fillId="0" borderId="1" xfId="1" applyFont="1" applyBorder="1" applyAlignment="1">
      <alignment horizontal="center" vertical="center" wrapText="1"/>
    </xf>
    <xf numFmtId="164" fontId="3" fillId="7" borderId="1" xfId="1" applyNumberFormat="1" applyFont="1" applyFill="1" applyBorder="1" applyAlignment="1" applyProtection="1">
      <alignment horizontal="right"/>
      <protection hidden="1"/>
    </xf>
    <xf numFmtId="164" fontId="3" fillId="8" borderId="1" xfId="1" applyNumberFormat="1" applyFont="1" applyFill="1" applyBorder="1" applyAlignment="1" applyProtection="1">
      <alignment horizontal="right"/>
      <protection hidden="1"/>
    </xf>
    <xf numFmtId="164" fontId="3" fillId="3" borderId="1" xfId="1" applyNumberFormat="1" applyFont="1" applyFill="1" applyBorder="1" applyAlignment="1" applyProtection="1">
      <alignment horizontal="right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4" fontId="4" fillId="0" borderId="2" xfId="1" applyNumberFormat="1" applyFont="1" applyBorder="1" applyAlignment="1" applyProtection="1">
      <alignment horizontal="right"/>
      <protection hidden="1"/>
    </xf>
    <xf numFmtId="0" fontId="4" fillId="7" borderId="1" xfId="1" applyFont="1" applyFill="1" applyBorder="1" applyAlignment="1" applyProtection="1">
      <alignment horizontal="left" wrapText="1"/>
      <protection hidden="1"/>
    </xf>
    <xf numFmtId="164" fontId="3" fillId="0" borderId="2" xfId="1" applyNumberFormat="1" applyFont="1" applyBorder="1" applyAlignment="1" applyProtection="1">
      <alignment horizontal="right"/>
      <protection hidden="1"/>
    </xf>
    <xf numFmtId="164" fontId="3" fillId="7" borderId="2" xfId="1" applyNumberFormat="1" applyFont="1" applyFill="1" applyBorder="1" applyAlignment="1" applyProtection="1">
      <alignment horizontal="right"/>
      <protection hidden="1"/>
    </xf>
    <xf numFmtId="164" fontId="3" fillId="0" borderId="3" xfId="1" applyNumberFormat="1" applyFont="1" applyBorder="1" applyAlignment="1" applyProtection="1">
      <alignment horizontal="right"/>
      <protection hidden="1"/>
    </xf>
    <xf numFmtId="164" fontId="3" fillId="5" borderId="3" xfId="1" applyNumberFormat="1" applyFont="1" applyFill="1" applyBorder="1" applyAlignment="1" applyProtection="1">
      <alignment horizontal="right"/>
      <protection hidden="1"/>
    </xf>
    <xf numFmtId="164" fontId="3" fillId="7" borderId="3" xfId="1" applyNumberFormat="1" applyFont="1" applyFill="1" applyBorder="1" applyAlignment="1" applyProtection="1">
      <alignment horizontal="right"/>
      <protection hidden="1"/>
    </xf>
    <xf numFmtId="164" fontId="3" fillId="4" borderId="1" xfId="1" applyNumberFormat="1" applyFont="1" applyFill="1" applyBorder="1" applyAlignment="1" applyProtection="1">
      <alignment horizontal="right"/>
      <protection hidden="1"/>
    </xf>
    <xf numFmtId="165" fontId="3" fillId="4" borderId="1" xfId="1" applyNumberFormat="1" applyFont="1" applyFill="1" applyBorder="1" applyAlignment="1" applyProtection="1">
      <alignment wrapText="1"/>
      <protection hidden="1"/>
    </xf>
    <xf numFmtId="0" fontId="4" fillId="2" borderId="1" xfId="1" applyFont="1" applyFill="1" applyBorder="1" applyAlignment="1" applyProtection="1">
      <alignment horizontal="left" vertical="top" wrapText="1"/>
      <protection hidden="1"/>
    </xf>
    <xf numFmtId="0" fontId="3" fillId="0" borderId="0" xfId="1" applyFont="1" applyAlignment="1" applyProtection="1">
      <alignment horizontal="left" vertical="top" wrapText="1"/>
      <protection hidden="1"/>
    </xf>
    <xf numFmtId="0" fontId="3" fillId="4" borderId="1" xfId="1" applyFont="1" applyFill="1" applyBorder="1" applyAlignment="1" applyProtection="1">
      <alignment vertical="top" wrapText="1"/>
      <protection hidden="1"/>
    </xf>
    <xf numFmtId="0" fontId="3" fillId="0" borderId="1" xfId="1" applyFont="1" applyBorder="1" applyAlignment="1" applyProtection="1">
      <alignment horizontal="left" vertical="top" wrapText="1"/>
      <protection hidden="1"/>
    </xf>
    <xf numFmtId="0" fontId="3" fillId="0" borderId="5" xfId="1" applyFont="1" applyBorder="1" applyAlignment="1" applyProtection="1">
      <alignment horizontal="left" vertical="top" wrapText="1"/>
      <protection hidden="1"/>
    </xf>
    <xf numFmtId="0" fontId="4" fillId="3" borderId="1" xfId="1" applyFont="1" applyFill="1" applyBorder="1" applyAlignment="1" applyProtection="1">
      <alignment horizontal="left" vertical="top" wrapText="1"/>
      <protection hidden="1"/>
    </xf>
    <xf numFmtId="0" fontId="4" fillId="3" borderId="1" xfId="1" applyFont="1" applyFill="1" applyBorder="1" applyAlignment="1" applyProtection="1">
      <alignment horizontal="center"/>
      <protection hidden="1"/>
    </xf>
    <xf numFmtId="164" fontId="3" fillId="10" borderId="2" xfId="1" applyNumberFormat="1" applyFont="1" applyFill="1" applyBorder="1" applyAlignment="1" applyProtection="1">
      <alignment horizontal="right"/>
      <protection hidden="1"/>
    </xf>
    <xf numFmtId="164" fontId="4" fillId="4" borderId="1" xfId="1" applyNumberFormat="1" applyFont="1" applyFill="1" applyBorder="1" applyAlignment="1" applyProtection="1">
      <alignment horizontal="right"/>
      <protection hidden="1"/>
    </xf>
    <xf numFmtId="0" fontId="3" fillId="0" borderId="6" xfId="8" applyFont="1" applyBorder="1" applyAlignment="1" applyProtection="1">
      <alignment horizontal="left" vertical="top" wrapText="1"/>
      <protection hidden="1"/>
    </xf>
    <xf numFmtId="0" fontId="3" fillId="11" borderId="3" xfId="1" applyFont="1" applyFill="1" applyBorder="1" applyAlignment="1" applyProtection="1">
      <alignment vertical="top" wrapText="1"/>
      <protection hidden="1"/>
    </xf>
    <xf numFmtId="165" fontId="3" fillId="11" borderId="3" xfId="1" applyNumberFormat="1" applyFont="1" applyFill="1" applyBorder="1" applyAlignment="1" applyProtection="1">
      <alignment wrapText="1"/>
      <protection hidden="1"/>
    </xf>
    <xf numFmtId="164" fontId="3" fillId="11" borderId="1" xfId="1" applyNumberFormat="1" applyFont="1" applyFill="1" applyBorder="1" applyAlignment="1" applyProtection="1">
      <alignment horizontal="right"/>
      <protection hidden="1"/>
    </xf>
    <xf numFmtId="164" fontId="3" fillId="11" borderId="2" xfId="1" applyNumberFormat="1" applyFont="1" applyFill="1" applyBorder="1" applyAlignment="1" applyProtection="1">
      <alignment horizontal="right"/>
      <protection hidden="1"/>
    </xf>
    <xf numFmtId="0" fontId="3" fillId="11" borderId="6" xfId="8" applyFont="1" applyFill="1" applyBorder="1" applyAlignment="1" applyProtection="1">
      <alignment horizontal="left" vertical="top" wrapText="1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5" fillId="0" borderId="0" xfId="1" applyFont="1"/>
    <xf numFmtId="0" fontId="5" fillId="3" borderId="1" xfId="1" applyFont="1" applyFill="1" applyBorder="1" applyAlignment="1" applyProtection="1">
      <alignment horizontal="center" vertical="center" wrapText="1"/>
      <protection hidden="1"/>
    </xf>
    <xf numFmtId="4" fontId="21" fillId="0" borderId="4" xfId="1" applyNumberFormat="1" applyFont="1" applyBorder="1" applyAlignment="1" applyProtection="1">
      <alignment vertical="center"/>
      <protection hidden="1"/>
    </xf>
    <xf numFmtId="0" fontId="21" fillId="0" borderId="0" xfId="1" applyFont="1" applyProtection="1">
      <protection hidden="1"/>
    </xf>
    <xf numFmtId="0" fontId="3" fillId="10" borderId="1" xfId="1" applyFont="1" applyFill="1" applyBorder="1" applyAlignment="1" applyProtection="1">
      <alignment horizontal="left" vertical="top" wrapText="1"/>
      <protection hidden="1"/>
    </xf>
    <xf numFmtId="0" fontId="3" fillId="2" borderId="1" xfId="1" applyFont="1" applyFill="1" applyBorder="1" applyAlignment="1" applyProtection="1">
      <alignment horizontal="left" vertical="top" wrapText="1"/>
      <protection hidden="1"/>
    </xf>
    <xf numFmtId="0" fontId="22" fillId="0" borderId="0" xfId="1" applyFont="1" applyAlignment="1">
      <alignment wrapText="1"/>
    </xf>
    <xf numFmtId="164" fontId="5" fillId="0" borderId="0" xfId="1" applyNumberFormat="1" applyFont="1" applyAlignment="1" applyProtection="1">
      <alignment horizontal="right"/>
      <protection hidden="1"/>
    </xf>
    <xf numFmtId="165" fontId="5" fillId="0" borderId="0" xfId="1" applyNumberFormat="1" applyFont="1"/>
    <xf numFmtId="4" fontId="5" fillId="0" borderId="0" xfId="1" applyNumberFormat="1" applyFont="1"/>
    <xf numFmtId="164" fontId="23" fillId="0" borderId="0" xfId="1" applyNumberFormat="1" applyFont="1" applyAlignment="1" applyProtection="1">
      <alignment horizontal="right"/>
      <protection hidden="1"/>
    </xf>
    <xf numFmtId="4" fontId="5" fillId="0" borderId="0" xfId="1" applyNumberFormat="1" applyFont="1" applyProtection="1">
      <protection hidden="1"/>
    </xf>
    <xf numFmtId="164" fontId="21" fillId="0" borderId="0" xfId="1" applyNumberFormat="1" applyFont="1" applyAlignment="1" applyProtection="1">
      <alignment horizontal="right"/>
      <protection hidden="1"/>
    </xf>
    <xf numFmtId="165" fontId="21" fillId="0" borderId="0" xfId="1" applyNumberFormat="1" applyFont="1"/>
    <xf numFmtId="0" fontId="21" fillId="0" borderId="0" xfId="1" applyFont="1"/>
    <xf numFmtId="4" fontId="21" fillId="3" borderId="4" xfId="1" applyNumberFormat="1" applyFont="1" applyFill="1" applyBorder="1" applyAlignment="1" applyProtection="1">
      <alignment vertical="center"/>
      <protection hidden="1"/>
    </xf>
    <xf numFmtId="164" fontId="25" fillId="0" borderId="0" xfId="1" applyNumberFormat="1" applyFont="1" applyAlignment="1" applyProtection="1">
      <alignment horizontal="right"/>
      <protection hidden="1"/>
    </xf>
    <xf numFmtId="165" fontId="5" fillId="0" borderId="0" xfId="1" applyNumberFormat="1" applyFont="1" applyProtection="1">
      <protection hidden="1"/>
    </xf>
    <xf numFmtId="164" fontId="4" fillId="7" borderId="2" xfId="1" applyNumberFormat="1" applyFont="1" applyFill="1" applyBorder="1" applyAlignment="1" applyProtection="1">
      <alignment horizontal="right"/>
      <protection hidden="1"/>
    </xf>
    <xf numFmtId="4" fontId="4" fillId="0" borderId="4" xfId="1" applyNumberFormat="1" applyFont="1" applyBorder="1" applyAlignment="1" applyProtection="1">
      <alignment vertical="center"/>
      <protection hidden="1"/>
    </xf>
    <xf numFmtId="4" fontId="21" fillId="9" borderId="4" xfId="1" applyNumberFormat="1" applyFont="1" applyFill="1" applyBorder="1" applyAlignment="1" applyProtection="1">
      <alignment vertical="center"/>
      <protection hidden="1"/>
    </xf>
    <xf numFmtId="4" fontId="4" fillId="9" borderId="4" xfId="1" applyNumberFormat="1" applyFont="1" applyFill="1" applyBorder="1" applyAlignment="1" applyProtection="1">
      <alignment vertical="center"/>
      <protection hidden="1"/>
    </xf>
    <xf numFmtId="0" fontId="22" fillId="0" borderId="8" xfId="1" applyFont="1" applyBorder="1" applyAlignment="1">
      <alignment horizontal="left" vertical="top" wrapText="1"/>
    </xf>
    <xf numFmtId="164" fontId="26" fillId="0" borderId="0" xfId="1" applyNumberFormat="1" applyFont="1" applyAlignment="1" applyProtection="1">
      <alignment horizontal="right" vertical="center"/>
      <protection hidden="1"/>
    </xf>
    <xf numFmtId="4" fontId="21" fillId="0" borderId="0" xfId="1" applyNumberFormat="1" applyFont="1"/>
    <xf numFmtId="164" fontId="24" fillId="0" borderId="0" xfId="1" applyNumberFormat="1" applyFont="1" applyAlignment="1" applyProtection="1">
      <alignment horizontal="right" vertical="center"/>
      <protection hidden="1"/>
    </xf>
    <xf numFmtId="4" fontId="7" fillId="0" borderId="0" xfId="1" applyNumberFormat="1" applyFont="1"/>
    <xf numFmtId="0" fontId="3" fillId="3" borderId="1" xfId="1" applyFont="1" applyFill="1" applyBorder="1" applyAlignment="1" applyProtection="1">
      <alignment horizontal="left" vertical="top" wrapText="1"/>
      <protection hidden="1"/>
    </xf>
    <xf numFmtId="164" fontId="4" fillId="2" borderId="1" xfId="1" applyNumberFormat="1" applyFont="1" applyFill="1" applyBorder="1" applyAlignment="1" applyProtection="1">
      <alignment horizontal="right"/>
      <protection hidden="1"/>
    </xf>
    <xf numFmtId="164" fontId="3" fillId="12" borderId="2" xfId="1" applyNumberFormat="1" applyFont="1" applyFill="1" applyBorder="1" applyAlignment="1" applyProtection="1">
      <alignment horizontal="right"/>
      <protection hidden="1"/>
    </xf>
    <xf numFmtId="164" fontId="4" fillId="12" borderId="2" xfId="1" applyNumberFormat="1" applyFont="1" applyFill="1" applyBorder="1" applyAlignment="1" applyProtection="1">
      <alignment horizontal="right"/>
      <protection hidden="1"/>
    </xf>
    <xf numFmtId="4" fontId="29" fillId="0" borderId="0" xfId="1" applyNumberFormat="1" applyFont="1"/>
    <xf numFmtId="165" fontId="29" fillId="0" borderId="0" xfId="1" applyNumberFormat="1" applyFont="1"/>
    <xf numFmtId="164" fontId="23" fillId="0" borderId="1" xfId="1" applyNumberFormat="1" applyFont="1" applyBorder="1" applyAlignment="1" applyProtection="1">
      <alignment horizontal="right"/>
      <protection hidden="1"/>
    </xf>
    <xf numFmtId="0" fontId="5" fillId="0" borderId="1" xfId="1" applyFont="1" applyBorder="1" applyAlignment="1" applyProtection="1">
      <alignment horizontal="center" vertical="center"/>
      <protection hidden="1"/>
    </xf>
    <xf numFmtId="164" fontId="7" fillId="3" borderId="1" xfId="1" applyNumberFormat="1" applyFont="1" applyFill="1" applyBorder="1" applyAlignment="1" applyProtection="1">
      <alignment horizontal="right"/>
      <protection hidden="1"/>
    </xf>
    <xf numFmtId="164" fontId="3" fillId="6" borderId="1" xfId="1" applyNumberFormat="1" applyFont="1" applyFill="1" applyBorder="1" applyAlignment="1" applyProtection="1">
      <alignment horizontal="right"/>
      <protection hidden="1"/>
    </xf>
    <xf numFmtId="165" fontId="21" fillId="3" borderId="4" xfId="1" applyNumberFormat="1" applyFont="1" applyFill="1" applyBorder="1" applyAlignment="1" applyProtection="1">
      <alignment vertical="center"/>
      <protection hidden="1"/>
    </xf>
    <xf numFmtId="0" fontId="21" fillId="3" borderId="4" xfId="1" applyFont="1" applyFill="1" applyBorder="1" applyAlignment="1" applyProtection="1">
      <alignment vertical="center"/>
      <protection hidden="1"/>
    </xf>
    <xf numFmtId="165" fontId="7" fillId="3" borderId="4" xfId="1" applyNumberFormat="1" applyFont="1" applyFill="1" applyBorder="1" applyAlignment="1" applyProtection="1">
      <alignment vertical="center"/>
      <protection hidden="1"/>
    </xf>
    <xf numFmtId="164" fontId="3" fillId="13" borderId="2" xfId="1" applyNumberFormat="1" applyFont="1" applyFill="1" applyBorder="1" applyAlignment="1" applyProtection="1">
      <alignment horizontal="right"/>
      <protection hidden="1"/>
    </xf>
    <xf numFmtId="164" fontId="3" fillId="13" borderId="1" xfId="1" applyNumberFormat="1" applyFont="1" applyFill="1" applyBorder="1" applyAlignment="1" applyProtection="1">
      <alignment horizontal="right"/>
      <protection hidden="1"/>
    </xf>
    <xf numFmtId="164" fontId="3" fillId="2" borderId="2" xfId="1" applyNumberFormat="1" applyFont="1" applyFill="1" applyBorder="1" applyAlignment="1" applyProtection="1">
      <alignment horizontal="right"/>
      <protection hidden="1"/>
    </xf>
    <xf numFmtId="164" fontId="3" fillId="2" borderId="3" xfId="1" applyNumberFormat="1" applyFont="1" applyFill="1" applyBorder="1" applyAlignment="1" applyProtection="1">
      <alignment horizontal="right"/>
      <protection hidden="1"/>
    </xf>
    <xf numFmtId="164" fontId="3" fillId="2" borderId="1" xfId="1" applyNumberFormat="1" applyFont="1" applyFill="1" applyBorder="1" applyAlignment="1" applyProtection="1">
      <alignment horizontal="right"/>
      <protection hidden="1"/>
    </xf>
    <xf numFmtId="164" fontId="7" fillId="2" borderId="1" xfId="1" applyNumberFormat="1" applyFont="1" applyFill="1" applyBorder="1" applyAlignment="1" applyProtection="1">
      <alignment horizontal="right"/>
      <protection hidden="1"/>
    </xf>
    <xf numFmtId="164" fontId="4" fillId="10" borderId="1" xfId="1" applyNumberFormat="1" applyFont="1" applyFill="1" applyBorder="1" applyAlignment="1" applyProtection="1">
      <alignment horizontal="right"/>
      <protection hidden="1"/>
    </xf>
    <xf numFmtId="164" fontId="4" fillId="8" borderId="1" xfId="1" applyNumberFormat="1" applyFont="1" applyFill="1" applyBorder="1" applyAlignment="1" applyProtection="1">
      <alignment horizontal="right"/>
      <protection hidden="1"/>
    </xf>
    <xf numFmtId="164" fontId="4" fillId="3" borderId="2" xfId="1" applyNumberFormat="1" applyFont="1" applyFill="1" applyBorder="1" applyAlignment="1" applyProtection="1">
      <alignment horizontal="right"/>
      <protection hidden="1"/>
    </xf>
    <xf numFmtId="0" fontId="22" fillId="0" borderId="0" xfId="1" applyFont="1" applyAlignment="1">
      <alignment horizontal="left" vertical="top" wrapText="1"/>
    </xf>
    <xf numFmtId="0" fontId="32" fillId="0" borderId="0" xfId="1" applyFont="1" applyAlignment="1">
      <alignment vertical="top" wrapText="1"/>
    </xf>
    <xf numFmtId="0" fontId="32" fillId="0" borderId="8" xfId="1" applyFont="1" applyBorder="1" applyAlignment="1">
      <alignment horizontal="left" vertical="top" wrapText="1"/>
    </xf>
    <xf numFmtId="0" fontId="31" fillId="0" borderId="0" xfId="1" applyFont="1" applyAlignment="1">
      <alignment horizontal="left" vertical="top" wrapText="1"/>
    </xf>
    <xf numFmtId="164" fontId="3" fillId="3" borderId="0" xfId="1" applyNumberFormat="1" applyFont="1" applyFill="1" applyAlignment="1" applyProtection="1">
      <alignment horizontal="right"/>
      <protection hidden="1"/>
    </xf>
    <xf numFmtId="164" fontId="23" fillId="3" borderId="0" xfId="1" applyNumberFormat="1" applyFont="1" applyFill="1" applyAlignment="1" applyProtection="1">
      <alignment horizontal="right"/>
      <protection hidden="1"/>
    </xf>
    <xf numFmtId="0" fontId="4" fillId="3" borderId="0" xfId="1" applyFont="1" applyFill="1" applyAlignment="1" applyProtection="1">
      <alignment wrapText="1"/>
      <protection hidden="1"/>
    </xf>
    <xf numFmtId="164" fontId="4" fillId="3" borderId="0" xfId="1" applyNumberFormat="1" applyFont="1" applyFill="1" applyAlignment="1" applyProtection="1">
      <alignment horizontal="right"/>
      <protection hidden="1"/>
    </xf>
    <xf numFmtId="0" fontId="3" fillId="0" borderId="1" xfId="1" applyFont="1" applyBorder="1" applyAlignment="1" applyProtection="1">
      <alignment horizontal="left" vertical="top" wrapText="1"/>
      <protection hidden="1"/>
    </xf>
    <xf numFmtId="0" fontId="4" fillId="0" borderId="1" xfId="1" applyFont="1" applyBorder="1" applyAlignment="1" applyProtection="1">
      <alignment horizontal="left" vertical="top" wrapText="1"/>
      <protection hidden="1"/>
    </xf>
    <xf numFmtId="4" fontId="5" fillId="0" borderId="0" xfId="1" applyNumberFormat="1" applyFont="1" applyAlignment="1">
      <alignment horizontal="center"/>
    </xf>
    <xf numFmtId="0" fontId="3" fillId="0" borderId="7" xfId="8" applyFont="1" applyBorder="1" applyAlignment="1" applyProtection="1">
      <alignment horizontal="left" vertical="top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0" fontId="4" fillId="0" borderId="2" xfId="1" applyFont="1" applyBorder="1" applyAlignment="1" applyProtection="1">
      <alignment horizontal="center" vertical="center" wrapText="1"/>
      <protection hidden="1"/>
    </xf>
    <xf numFmtId="0" fontId="4" fillId="0" borderId="3" xfId="1" applyFont="1" applyBorder="1" applyAlignment="1" applyProtection="1">
      <alignment horizontal="center" vertical="center" wrapText="1"/>
      <protection hidden="1"/>
    </xf>
    <xf numFmtId="0" fontId="3" fillId="0" borderId="2" xfId="1" applyFont="1" applyBorder="1" applyAlignment="1" applyProtection="1">
      <alignment horizontal="left" vertical="top" wrapText="1"/>
      <protection hidden="1"/>
    </xf>
    <xf numFmtId="0" fontId="3" fillId="0" borderId="3" xfId="1" applyFont="1" applyBorder="1" applyAlignment="1" applyProtection="1">
      <alignment horizontal="left" vertical="top" wrapText="1"/>
      <protection hidden="1"/>
    </xf>
    <xf numFmtId="0" fontId="4" fillId="3" borderId="1" xfId="1" applyFont="1" applyFill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4" fillId="3" borderId="1" xfId="1" applyFont="1" applyFill="1" applyBorder="1" applyAlignment="1" applyProtection="1">
      <alignment horizontal="center" vertical="center"/>
      <protection hidden="1"/>
    </xf>
    <xf numFmtId="0" fontId="4" fillId="9" borderId="2" xfId="1" applyFont="1" applyFill="1" applyBorder="1" applyAlignment="1" applyProtection="1">
      <alignment horizontal="center" vertical="center" wrapText="1"/>
      <protection hidden="1"/>
    </xf>
    <xf numFmtId="0" fontId="4" fillId="9" borderId="3" xfId="1" applyFont="1" applyFill="1" applyBorder="1" applyAlignment="1" applyProtection="1">
      <alignment horizontal="center" vertical="center" wrapText="1"/>
      <protection hidden="1"/>
    </xf>
    <xf numFmtId="0" fontId="4" fillId="7" borderId="1" xfId="1" applyFont="1" applyFill="1" applyBorder="1" applyAlignment="1" applyProtection="1">
      <alignment horizontal="center" vertical="center" wrapText="1"/>
      <protection hidden="1"/>
    </xf>
    <xf numFmtId="0" fontId="4" fillId="6" borderId="1" xfId="1" applyFont="1" applyFill="1" applyBorder="1" applyAlignment="1" applyProtection="1">
      <alignment horizontal="center" vertical="center" wrapText="1"/>
      <protection hidden="1"/>
    </xf>
    <xf numFmtId="0" fontId="3" fillId="7" borderId="2" xfId="1" applyFont="1" applyFill="1" applyBorder="1" applyAlignment="1" applyProtection="1">
      <alignment horizontal="center" vertical="center" wrapText="1"/>
      <protection hidden="1"/>
    </xf>
    <xf numFmtId="0" fontId="3" fillId="7" borderId="3" xfId="1" applyFont="1" applyFill="1" applyBorder="1" applyAlignment="1" applyProtection="1">
      <alignment horizontal="center" vertical="center" wrapText="1"/>
      <protection hidden="1"/>
    </xf>
    <xf numFmtId="0" fontId="4" fillId="12" borderId="2" xfId="1" applyFont="1" applyFill="1" applyBorder="1" applyAlignment="1" applyProtection="1">
      <alignment horizontal="center" vertical="center" wrapText="1"/>
      <protection hidden="1"/>
    </xf>
    <xf numFmtId="0" fontId="4" fillId="12" borderId="3" xfId="1" applyFont="1" applyFill="1" applyBorder="1" applyAlignment="1" applyProtection="1">
      <alignment horizontal="center" vertical="center" wrapText="1"/>
      <protection hidden="1"/>
    </xf>
    <xf numFmtId="0" fontId="4" fillId="3" borderId="9" xfId="1" applyFont="1" applyFill="1" applyBorder="1" applyAlignment="1" applyProtection="1">
      <alignment horizontal="center" vertical="center" wrapText="1"/>
      <protection hidden="1"/>
    </xf>
    <xf numFmtId="0" fontId="4" fillId="3" borderId="10" xfId="1" applyFont="1" applyFill="1" applyBorder="1" applyAlignment="1" applyProtection="1">
      <alignment horizontal="center" vertical="center" wrapText="1"/>
      <protection hidden="1"/>
    </xf>
    <xf numFmtId="0" fontId="4" fillId="3" borderId="11" xfId="1" applyFont="1" applyFill="1" applyBorder="1" applyAlignment="1" applyProtection="1">
      <alignment horizontal="center" vertical="center" wrapText="1"/>
      <protection hidden="1"/>
    </xf>
    <xf numFmtId="0" fontId="4" fillId="3" borderId="12" xfId="1" applyFont="1" applyFill="1" applyBorder="1" applyAlignment="1" applyProtection="1">
      <alignment horizontal="center" vertical="center" wrapText="1"/>
      <protection hidden="1"/>
    </xf>
  </cellXfs>
  <cellStyles count="28">
    <cellStyle name="Обычный" xfId="0" builtinId="0"/>
    <cellStyle name="Обычный 10" xfId="18" xr:uid="{00000000-0005-0000-0000-000001000000}"/>
    <cellStyle name="Обычный 11" xfId="19" xr:uid="{00000000-0005-0000-0000-000002000000}"/>
    <cellStyle name="Обычный 12" xfId="20" xr:uid="{00000000-0005-0000-0000-000003000000}"/>
    <cellStyle name="Обычный 13" xfId="21" xr:uid="{00000000-0005-0000-0000-000004000000}"/>
    <cellStyle name="Обычный 14" xfId="22" xr:uid="{00000000-0005-0000-0000-000005000000}"/>
    <cellStyle name="Обычный 15" xfId="23" xr:uid="{00000000-0005-0000-0000-000006000000}"/>
    <cellStyle name="Обычный 16" xfId="24" xr:uid="{00000000-0005-0000-0000-000007000000}"/>
    <cellStyle name="Обычный 17" xfId="25" xr:uid="{00000000-0005-0000-0000-000008000000}"/>
    <cellStyle name="Обычный 18" xfId="26" xr:uid="{00000000-0005-0000-0000-000009000000}"/>
    <cellStyle name="Обычный 19" xfId="27" xr:uid="{00000000-0005-0000-0000-00000A000000}"/>
    <cellStyle name="Обычный 2" xfId="1" xr:uid="{00000000-0005-0000-0000-00000B000000}"/>
    <cellStyle name="Обычный 2 2" xfId="3" xr:uid="{00000000-0005-0000-0000-00000C000000}"/>
    <cellStyle name="Обычный 2 2 2" xfId="11" xr:uid="{00000000-0005-0000-0000-00000D000000}"/>
    <cellStyle name="Обычный 3" xfId="2" xr:uid="{00000000-0005-0000-0000-00000E000000}"/>
    <cellStyle name="Обычный 3 2" xfId="10" xr:uid="{00000000-0005-0000-0000-00000F000000}"/>
    <cellStyle name="Обычный 4" xfId="4" xr:uid="{00000000-0005-0000-0000-000010000000}"/>
    <cellStyle name="Обычный 4 2" xfId="12" xr:uid="{00000000-0005-0000-0000-000011000000}"/>
    <cellStyle name="Обычный 5" xfId="5" xr:uid="{00000000-0005-0000-0000-000012000000}"/>
    <cellStyle name="Обычный 5 2" xfId="13" xr:uid="{00000000-0005-0000-0000-000013000000}"/>
    <cellStyle name="Обычный 6" xfId="6" xr:uid="{00000000-0005-0000-0000-000014000000}"/>
    <cellStyle name="Обычный 6 2" xfId="14" xr:uid="{00000000-0005-0000-0000-000015000000}"/>
    <cellStyle name="Обычный 7" xfId="7" xr:uid="{00000000-0005-0000-0000-000016000000}"/>
    <cellStyle name="Обычный 7 2" xfId="15" xr:uid="{00000000-0005-0000-0000-000017000000}"/>
    <cellStyle name="Обычный 8" xfId="8" xr:uid="{00000000-0005-0000-0000-000018000000}"/>
    <cellStyle name="Обычный 8 2" xfId="16" xr:uid="{00000000-0005-0000-0000-000019000000}"/>
    <cellStyle name="Обычный 9" xfId="9" xr:uid="{00000000-0005-0000-0000-00001A000000}"/>
    <cellStyle name="Обычный 9 2" xfId="17" xr:uid="{00000000-0005-0000-0000-00001B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2"/>
  <sheetViews>
    <sheetView showGridLines="0" tabSelected="1" view="pageBreakPreview" zoomScale="68" zoomScaleNormal="68" zoomScaleSheetLayoutView="68" workbookViewId="0">
      <pane xSplit="11" ySplit="6" topLeftCell="L7" activePane="bottomRight" state="frozen"/>
      <selection pane="topRight" activeCell="U1" sqref="U1"/>
      <selection pane="bottomLeft" activeCell="A7" sqref="A7"/>
      <selection pane="bottomRight" activeCell="O58" sqref="O58"/>
    </sheetView>
  </sheetViews>
  <sheetFormatPr defaultColWidth="9.140625" defaultRowHeight="12.75" x14ac:dyDescent="0.2"/>
  <cols>
    <col min="1" max="1" width="0.42578125" style="1" customWidth="1"/>
    <col min="2" max="8" width="9.140625" style="1" hidden="1" customWidth="1"/>
    <col min="9" max="9" width="63.140625" style="1" customWidth="1"/>
    <col min="10" max="10" width="27.140625" style="1" hidden="1" customWidth="1"/>
    <col min="11" max="11" width="31.42578125" style="1" hidden="1" customWidth="1"/>
    <col min="12" max="12" width="26.28515625" style="1" customWidth="1"/>
    <col min="13" max="13" width="26.7109375" style="1" hidden="1" customWidth="1"/>
    <col min="14" max="14" width="26.5703125" style="1" hidden="1" customWidth="1"/>
    <col min="15" max="15" width="27" style="1" customWidth="1"/>
    <col min="16" max="16" width="27.85546875" style="1" hidden="1" customWidth="1"/>
    <col min="17" max="17" width="24.140625" style="1" customWidth="1"/>
    <col min="18" max="18" width="22.7109375" style="1" hidden="1" customWidth="1"/>
    <col min="19" max="19" width="22.140625" style="1" hidden="1" customWidth="1"/>
    <col min="20" max="20" width="22" style="1" hidden="1" customWidth="1"/>
    <col min="21" max="21" width="25" style="1" hidden="1" customWidth="1"/>
    <col min="22" max="22" width="25" style="1" customWidth="1"/>
    <col min="23" max="23" width="21.42578125" style="1" hidden="1" customWidth="1"/>
    <col min="24" max="24" width="22.85546875" style="1" customWidth="1"/>
    <col min="25" max="25" width="14" style="1" customWidth="1"/>
    <col min="26" max="26" width="20.140625" style="1" hidden="1" customWidth="1"/>
    <col min="27" max="27" width="15.42578125" style="1" hidden="1" customWidth="1"/>
    <col min="28" max="28" width="20.7109375" style="1" customWidth="1"/>
    <col min="29" max="29" width="18.5703125" style="1" customWidth="1"/>
    <col min="30" max="30" width="22.5703125" style="1" hidden="1" customWidth="1"/>
    <col min="31" max="31" width="25" style="1" customWidth="1"/>
    <col min="32" max="32" width="22.42578125" style="1" customWidth="1"/>
    <col min="33" max="235" width="9.140625" style="1" customWidth="1"/>
    <col min="236" max="16384" width="9.140625" style="1"/>
  </cols>
  <sheetData>
    <row r="1" spans="1:31" ht="28.5" customHeight="1" x14ac:dyDescent="0.2">
      <c r="A1" s="3"/>
      <c r="B1" s="2"/>
      <c r="C1" s="2"/>
      <c r="D1" s="2"/>
      <c r="E1" s="2"/>
      <c r="F1" s="2"/>
      <c r="G1" s="2"/>
      <c r="H1" s="2"/>
      <c r="I1" s="126" t="s">
        <v>100</v>
      </c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2"/>
      <c r="Z1" s="2"/>
      <c r="AA1" s="2"/>
      <c r="AB1" s="2"/>
      <c r="AC1" s="2"/>
    </row>
    <row r="2" spans="1:31" s="5" customFormat="1" ht="20.25" customHeight="1" x14ac:dyDescent="0.3">
      <c r="A2" s="7"/>
      <c r="B2" s="7"/>
      <c r="C2" s="7"/>
      <c r="D2" s="7"/>
      <c r="E2" s="7"/>
      <c r="F2" s="7"/>
      <c r="G2" s="7"/>
      <c r="H2" s="7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29"/>
      <c r="Z2" s="29"/>
      <c r="AA2" s="29"/>
      <c r="AB2" s="29"/>
      <c r="AC2" s="29"/>
    </row>
    <row r="3" spans="1:31" s="59" customFormat="1" ht="19.5" customHeight="1" x14ac:dyDescent="0.3">
      <c r="A3" s="57"/>
      <c r="B3" s="57"/>
      <c r="C3" s="62"/>
      <c r="D3" s="62"/>
      <c r="E3" s="62"/>
      <c r="F3" s="62"/>
      <c r="G3" s="62"/>
      <c r="H3" s="62"/>
      <c r="I3" s="62"/>
      <c r="J3" s="79"/>
      <c r="K3" s="80">
        <f>M9/J9%</f>
        <v>67.736646220388664</v>
      </c>
      <c r="L3" s="78"/>
      <c r="M3" s="80">
        <v>0</v>
      </c>
      <c r="N3" s="80"/>
      <c r="O3" s="61"/>
      <c r="P3" s="79">
        <f>L3-O61</f>
        <v>-1715896721.0369735</v>
      </c>
      <c r="Q3" s="96"/>
      <c r="R3" s="96">
        <v>150135287.44999999</v>
      </c>
      <c r="S3" s="97"/>
      <c r="T3" s="74">
        <v>2364239.88</v>
      </c>
      <c r="U3" s="74"/>
      <c r="V3" s="98"/>
      <c r="W3" s="62"/>
      <c r="X3" s="76"/>
      <c r="Y3" s="62"/>
      <c r="Z3" s="62"/>
      <c r="AA3" s="62"/>
      <c r="AB3" s="62"/>
      <c r="AC3" s="58" t="s">
        <v>45</v>
      </c>
    </row>
    <row r="4" spans="1:31" s="5" customFormat="1" ht="74.25" customHeight="1" x14ac:dyDescent="0.3">
      <c r="A4" s="4"/>
      <c r="B4" s="8"/>
      <c r="C4" s="8"/>
      <c r="D4" s="8"/>
      <c r="E4" s="8"/>
      <c r="F4" s="8"/>
      <c r="G4" s="8"/>
      <c r="H4" s="8"/>
      <c r="I4" s="127" t="s">
        <v>32</v>
      </c>
      <c r="J4" s="130" t="s">
        <v>74</v>
      </c>
      <c r="K4" s="131" t="s">
        <v>75</v>
      </c>
      <c r="L4" s="125" t="s">
        <v>77</v>
      </c>
      <c r="M4" s="131" t="s">
        <v>93</v>
      </c>
      <c r="N4" s="132" t="s">
        <v>76</v>
      </c>
      <c r="O4" s="125" t="s">
        <v>94</v>
      </c>
      <c r="P4" s="134" t="s">
        <v>79</v>
      </c>
      <c r="Q4" s="136" t="s">
        <v>78</v>
      </c>
      <c r="R4" s="137"/>
      <c r="S4" s="120" t="s">
        <v>43</v>
      </c>
      <c r="T4" s="120"/>
      <c r="U4" s="128" t="s">
        <v>97</v>
      </c>
      <c r="V4" s="125" t="s">
        <v>98</v>
      </c>
      <c r="W4" s="121" t="s">
        <v>39</v>
      </c>
      <c r="X4" s="120" t="s">
        <v>81</v>
      </c>
      <c r="Y4" s="120"/>
      <c r="Z4" s="120" t="s">
        <v>92</v>
      </c>
      <c r="AA4" s="120"/>
      <c r="AB4" s="120" t="s">
        <v>99</v>
      </c>
      <c r="AC4" s="120"/>
      <c r="AD4" s="25" t="s">
        <v>73</v>
      </c>
    </row>
    <row r="5" spans="1:31" s="5" customFormat="1" ht="70.5" customHeight="1" x14ac:dyDescent="0.3">
      <c r="A5" s="4"/>
      <c r="B5" s="32" t="s">
        <v>31</v>
      </c>
      <c r="C5" s="32" t="s">
        <v>30</v>
      </c>
      <c r="D5" s="32" t="s">
        <v>29</v>
      </c>
      <c r="E5" s="32" t="s">
        <v>28</v>
      </c>
      <c r="F5" s="32" t="s">
        <v>27</v>
      </c>
      <c r="G5" s="32" t="s">
        <v>26</v>
      </c>
      <c r="H5" s="32" t="s">
        <v>25</v>
      </c>
      <c r="I5" s="127"/>
      <c r="J5" s="130"/>
      <c r="K5" s="131"/>
      <c r="L5" s="125"/>
      <c r="M5" s="131"/>
      <c r="N5" s="133"/>
      <c r="O5" s="125"/>
      <c r="P5" s="135"/>
      <c r="Q5" s="138"/>
      <c r="R5" s="139"/>
      <c r="S5" s="60" t="s">
        <v>95</v>
      </c>
      <c r="T5" s="60" t="s">
        <v>96</v>
      </c>
      <c r="U5" s="129"/>
      <c r="V5" s="125"/>
      <c r="W5" s="122"/>
      <c r="X5" s="32" t="s">
        <v>34</v>
      </c>
      <c r="Y5" s="32" t="s">
        <v>35</v>
      </c>
      <c r="Z5" s="32" t="s">
        <v>34</v>
      </c>
      <c r="AA5" s="32" t="s">
        <v>35</v>
      </c>
      <c r="AB5" s="32" t="s">
        <v>34</v>
      </c>
      <c r="AC5" s="32" t="s">
        <v>35</v>
      </c>
      <c r="AD5" s="32" t="s">
        <v>34</v>
      </c>
    </row>
    <row r="6" spans="1:31" s="5" customFormat="1" ht="18.75" x14ac:dyDescent="0.3">
      <c r="A6" s="4"/>
      <c r="B6" s="32"/>
      <c r="C6" s="32"/>
      <c r="D6" s="32"/>
      <c r="E6" s="32"/>
      <c r="F6" s="32"/>
      <c r="G6" s="32"/>
      <c r="H6" s="32"/>
      <c r="I6" s="22"/>
      <c r="J6" s="22"/>
      <c r="K6" s="22"/>
      <c r="L6" s="22"/>
      <c r="M6" s="22"/>
      <c r="N6" s="22"/>
      <c r="O6" s="22"/>
      <c r="P6" s="22"/>
      <c r="Q6" s="22"/>
      <c r="R6" s="93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4">
        <v>19</v>
      </c>
    </row>
    <row r="7" spans="1:31" s="10" customFormat="1" ht="40.5" customHeight="1" x14ac:dyDescent="0.3">
      <c r="A7" s="9"/>
      <c r="B7" s="123" t="s">
        <v>8</v>
      </c>
      <c r="C7" s="123"/>
      <c r="D7" s="123"/>
      <c r="E7" s="123"/>
      <c r="F7" s="123"/>
      <c r="G7" s="123"/>
      <c r="H7" s="123"/>
      <c r="I7" s="123"/>
      <c r="J7" s="35">
        <f t="shared" ref="J7:K7" si="0">J9+J23</f>
        <v>666588611.95000005</v>
      </c>
      <c r="K7" s="101">
        <f t="shared" si="0"/>
        <v>728712068.21000004</v>
      </c>
      <c r="L7" s="35">
        <f>L10+L11+L14+L15+L16+L17+L18+L21+L24+L34+L35+L43+L46+L48+L13+L22</f>
        <v>723059674.68381572</v>
      </c>
      <c r="M7" s="101">
        <f t="shared" ref="M7" si="1">M9+M23</f>
        <v>459247606.09999996</v>
      </c>
      <c r="N7" s="99">
        <f>M7/J7%</f>
        <v>68.895207308829271</v>
      </c>
      <c r="O7" s="35">
        <f>O9+O23</f>
        <v>453213998.89697367</v>
      </c>
      <c r="P7" s="35">
        <f t="shared" ref="P7:Q7" si="2">P9+P23</f>
        <v>790470748.13</v>
      </c>
      <c r="Q7" s="35">
        <f t="shared" si="2"/>
        <v>791160408.28999996</v>
      </c>
      <c r="R7" s="35">
        <f t="shared" ref="R7:S7" si="3">R9+R23</f>
        <v>553594518.77999997</v>
      </c>
      <c r="S7" s="35">
        <f t="shared" si="3"/>
        <v>9774217.1600000001</v>
      </c>
      <c r="T7" s="35">
        <f t="shared" ref="T7:V7" si="4">T9+T23</f>
        <v>3089052.3800000004</v>
      </c>
      <c r="U7" s="35">
        <v>488518911.95000005</v>
      </c>
      <c r="V7" s="35">
        <f t="shared" si="4"/>
        <v>491607964.3300001</v>
      </c>
      <c r="W7" s="35">
        <f t="shared" ref="W7:W21" si="5">T7-S7</f>
        <v>-6685164.7799999993</v>
      </c>
      <c r="X7" s="35">
        <f t="shared" ref="X7:X38" si="6">V7-Q7</f>
        <v>-299552443.95999986</v>
      </c>
      <c r="Y7" s="35">
        <f t="shared" ref="Y7:Y13" si="7">V7/Q7%</f>
        <v>62.137584133229417</v>
      </c>
      <c r="Z7" s="35">
        <f t="shared" ref="Z7:Z38" si="8">V7-R7</f>
        <v>-61986554.449999869</v>
      </c>
      <c r="AA7" s="35">
        <f t="shared" ref="AA7:AA13" si="9">V7/R7*100</f>
        <v>88.80289591981429</v>
      </c>
      <c r="AB7" s="35">
        <f t="shared" ref="AB7:AB38" si="10">V7-O7</f>
        <v>38393965.433026433</v>
      </c>
      <c r="AC7" s="35">
        <f>V7/O7%</f>
        <v>108.4714870958243</v>
      </c>
      <c r="AD7" s="36" t="e">
        <f>AD9+AD23</f>
        <v>#REF!</v>
      </c>
    </row>
    <row r="8" spans="1:31" s="10" customFormat="1" ht="99" hidden="1" customHeight="1" x14ac:dyDescent="0.3">
      <c r="A8" s="9"/>
      <c r="B8" s="43"/>
      <c r="C8" s="43"/>
      <c r="D8" s="43"/>
      <c r="E8" s="43"/>
      <c r="F8" s="43"/>
      <c r="G8" s="43"/>
      <c r="H8" s="43"/>
      <c r="I8" s="44" t="s">
        <v>47</v>
      </c>
      <c r="J8" s="41">
        <f>J7-J35-J51</f>
        <v>628915421.09000003</v>
      </c>
      <c r="K8" s="41">
        <f>K7-K35-K51+287851.93-9555.42</f>
        <v>690120725.56000006</v>
      </c>
      <c r="L8" s="41">
        <f>L7-L35-L51+287851.93-9555.42</f>
        <v>684468332.03381574</v>
      </c>
      <c r="M8" s="41">
        <f>M7-M35-M51</f>
        <v>433594182.90999997</v>
      </c>
      <c r="N8" s="99">
        <f>M8/J8%</f>
        <v>68.943162843505959</v>
      </c>
      <c r="O8" s="41">
        <f t="shared" ref="O8:T8" si="11">O7-O35-O51</f>
        <v>427612851.70697367</v>
      </c>
      <c r="P8" s="41">
        <f t="shared" si="11"/>
        <v>746539015.22000003</v>
      </c>
      <c r="Q8" s="41">
        <f t="shared" si="11"/>
        <v>746539015.23000002</v>
      </c>
      <c r="R8" s="41">
        <f t="shared" si="11"/>
        <v>519751106.64999992</v>
      </c>
      <c r="S8" s="41">
        <f t="shared" ref="S8" si="12">S7-S35-S51</f>
        <v>9032962.2400000002</v>
      </c>
      <c r="T8" s="41">
        <f t="shared" si="11"/>
        <v>2206892.0700000003</v>
      </c>
      <c r="U8" s="41">
        <v>455369304.24000001</v>
      </c>
      <c r="V8" s="41">
        <f>V7-V35-V51</f>
        <v>457576196.31000006</v>
      </c>
      <c r="W8" s="40">
        <f t="shared" si="5"/>
        <v>-6826070.1699999999</v>
      </c>
      <c r="X8" s="40">
        <f t="shared" si="6"/>
        <v>-288962818.91999996</v>
      </c>
      <c r="Y8" s="40">
        <f t="shared" si="7"/>
        <v>61.29300505065045</v>
      </c>
      <c r="Z8" s="49">
        <f t="shared" si="8"/>
        <v>-62174910.339999855</v>
      </c>
      <c r="AA8" s="49">
        <f t="shared" si="9"/>
        <v>88.037560758505819</v>
      </c>
      <c r="AB8" s="40">
        <f t="shared" si="10"/>
        <v>29963344.60302639</v>
      </c>
      <c r="AC8" s="40">
        <f>V8/O8%</f>
        <v>107.00711975409924</v>
      </c>
      <c r="AD8" s="41" t="e">
        <f>AD7-AD35-AD51</f>
        <v>#REF!</v>
      </c>
    </row>
    <row r="9" spans="1:31" s="10" customFormat="1" ht="30" hidden="1" customHeight="1" x14ac:dyDescent="0.3">
      <c r="A9" s="9"/>
      <c r="B9" s="43"/>
      <c r="C9" s="43"/>
      <c r="D9" s="43"/>
      <c r="E9" s="43"/>
      <c r="F9" s="43"/>
      <c r="G9" s="43"/>
      <c r="H9" s="43"/>
      <c r="I9" s="52" t="s">
        <v>49</v>
      </c>
      <c r="J9" s="53">
        <f t="shared" ref="J9:K9" si="13">J10+J11+J13+J14+J15+J16+J17+J18+J21+J22</f>
        <v>579111014.63999999</v>
      </c>
      <c r="K9" s="53">
        <f t="shared" si="13"/>
        <v>633524790.00999999</v>
      </c>
      <c r="L9" s="53">
        <f t="shared" ref="L9:M9" si="14">L10+L11+L13+L14+L15+L16+L17+L18+L21+L22</f>
        <v>627872396.48381579</v>
      </c>
      <c r="M9" s="53">
        <f t="shared" si="14"/>
        <v>392270379.20999998</v>
      </c>
      <c r="N9" s="55">
        <f t="shared" ref="N9:N61" si="15">M9/J9%</f>
        <v>67.736646220388664</v>
      </c>
      <c r="O9" s="53">
        <f>O10+O11+O13+O14+O15+O16+O17+O18+O21+O22</f>
        <v>388705376.51697367</v>
      </c>
      <c r="P9" s="53">
        <f>P10+P11+P12+P13+P14+P15+P16+P17+P18+P21+P22</f>
        <v>695697465.22000003</v>
      </c>
      <c r="Q9" s="53">
        <f>Q10+Q11+Q12+Q13+Q14+Q15+Q16+Q17+Q18+Q21+Q22</f>
        <v>695697465.23000002</v>
      </c>
      <c r="R9" s="53">
        <f>R10+R11+R12+R13+R14+R15+R16+R17+R18+R21+R22</f>
        <v>482659381.49000001</v>
      </c>
      <c r="S9" s="53">
        <f>S10+S11+S12+S13+S14+S15+S16+S17+S18+S21+S22</f>
        <v>8131997.9299999997</v>
      </c>
      <c r="T9" s="53">
        <f>T10+T11+T12+T13+T14+T15+T16+T17+T18+T21+T22</f>
        <v>1957676.6</v>
      </c>
      <c r="U9" s="53">
        <v>416592495.72000009</v>
      </c>
      <c r="V9" s="53">
        <f>V10+V11+V12+V13+V14+V15+V16+V17+V18+V21+V22</f>
        <v>418550172.32000011</v>
      </c>
      <c r="W9" s="54">
        <f t="shared" si="5"/>
        <v>-6174321.3300000001</v>
      </c>
      <c r="X9" s="54">
        <f t="shared" si="6"/>
        <v>-277147292.90999991</v>
      </c>
      <c r="Y9" s="54">
        <f t="shared" si="7"/>
        <v>60.162670304056086</v>
      </c>
      <c r="Z9" s="55">
        <f t="shared" si="8"/>
        <v>-64109209.169999897</v>
      </c>
      <c r="AA9" s="55">
        <f t="shared" si="9"/>
        <v>86.717504801814755</v>
      </c>
      <c r="AB9" s="54">
        <f t="shared" si="10"/>
        <v>29844795.803026438</v>
      </c>
      <c r="AC9" s="54">
        <f>V9/O9%</f>
        <v>107.67799922667733</v>
      </c>
      <c r="AD9" s="53">
        <f>AD10+AD11+AD13+AD14+AD15+AD16+AD17+AD18+AD21+AD22</f>
        <v>693642699.05999994</v>
      </c>
    </row>
    <row r="10" spans="1:31" s="10" customFormat="1" ht="30" hidden="1" customHeight="1" x14ac:dyDescent="0.3">
      <c r="A10" s="9"/>
      <c r="B10" s="124" t="s">
        <v>24</v>
      </c>
      <c r="C10" s="124"/>
      <c r="D10" s="124"/>
      <c r="E10" s="124"/>
      <c r="F10" s="124"/>
      <c r="G10" s="124"/>
      <c r="H10" s="124"/>
      <c r="I10" s="124"/>
      <c r="J10" s="37">
        <v>401049851.63999999</v>
      </c>
      <c r="K10" s="102">
        <v>429581907.99000001</v>
      </c>
      <c r="L10" s="38">
        <f>K10/53.2%*52.5%</f>
        <v>423929514.46381575</v>
      </c>
      <c r="M10" s="102">
        <v>269894914.35000002</v>
      </c>
      <c r="N10" s="99">
        <f t="shared" si="15"/>
        <v>67.297098664000899</v>
      </c>
      <c r="O10" s="38">
        <f>M10/53.2%*52.5%</f>
        <v>266343665.47697371</v>
      </c>
      <c r="P10" s="37">
        <v>502355975.22000003</v>
      </c>
      <c r="Q10" s="37">
        <v>486437775.22000003</v>
      </c>
      <c r="R10" s="37">
        <v>342580454.89999998</v>
      </c>
      <c r="S10" s="37">
        <f>7176989.32+17393.28+3.13+1720.43+2965.78</f>
        <v>7199071.9400000004</v>
      </c>
      <c r="T10" s="37">
        <v>1174783.43</v>
      </c>
      <c r="U10" s="37">
        <v>285755747.59000003</v>
      </c>
      <c r="V10" s="37">
        <f t="shared" ref="V10:V17" si="16">U10+T10</f>
        <v>286930531.02000004</v>
      </c>
      <c r="W10" s="37">
        <f t="shared" si="5"/>
        <v>-6024288.5100000007</v>
      </c>
      <c r="X10" s="37">
        <f t="shared" si="6"/>
        <v>-199507244.19999999</v>
      </c>
      <c r="Y10" s="35">
        <f t="shared" si="7"/>
        <v>58.986070909116933</v>
      </c>
      <c r="Z10" s="35">
        <f t="shared" si="8"/>
        <v>-55649923.879999936</v>
      </c>
      <c r="AA10" s="35">
        <f t="shared" si="9"/>
        <v>83.755662915374359</v>
      </c>
      <c r="AB10" s="37">
        <f t="shared" si="10"/>
        <v>20586865.543026328</v>
      </c>
      <c r="AC10" s="35">
        <f>V10/O10%</f>
        <v>107.7294368935559</v>
      </c>
      <c r="AD10" s="39">
        <f>Q10</f>
        <v>486437775.22000003</v>
      </c>
      <c r="AE10" s="65"/>
    </row>
    <row r="11" spans="1:31" s="10" customFormat="1" ht="61.5" hidden="1" customHeight="1" x14ac:dyDescent="0.3">
      <c r="A11" s="9"/>
      <c r="B11" s="116" t="s">
        <v>23</v>
      </c>
      <c r="C11" s="116"/>
      <c r="D11" s="116"/>
      <c r="E11" s="116"/>
      <c r="F11" s="116"/>
      <c r="G11" s="116"/>
      <c r="H11" s="116"/>
      <c r="I11" s="116"/>
      <c r="J11" s="12">
        <v>35571140</v>
      </c>
      <c r="K11" s="103">
        <v>35939487.270000003</v>
      </c>
      <c r="L11" s="28">
        <f t="shared" ref="L11:L17" si="17">K11</f>
        <v>35939487.270000003</v>
      </c>
      <c r="M11" s="103">
        <v>23927145.899999999</v>
      </c>
      <c r="N11" s="99">
        <f t="shared" si="15"/>
        <v>67.265614484101434</v>
      </c>
      <c r="O11" s="28">
        <f>M11</f>
        <v>23927145.899999999</v>
      </c>
      <c r="P11" s="12">
        <v>37977490</v>
      </c>
      <c r="Q11" s="12">
        <v>37977490</v>
      </c>
      <c r="R11" s="12">
        <v>27243557.050000001</v>
      </c>
      <c r="S11" s="12">
        <f>-0.02-26.52+0.03+26.5</f>
        <v>-9.9999999999980105E-3</v>
      </c>
      <c r="T11" s="12">
        <v>0.01</v>
      </c>
      <c r="U11" s="12">
        <v>23450214.309999984</v>
      </c>
      <c r="V11" s="12">
        <f t="shared" si="16"/>
        <v>23450214.319999985</v>
      </c>
      <c r="W11" s="12">
        <f t="shared" si="5"/>
        <v>1.9999999999998012E-2</v>
      </c>
      <c r="X11" s="12">
        <f t="shared" si="6"/>
        <v>-14527275.680000015</v>
      </c>
      <c r="Y11" s="35">
        <f t="shared" si="7"/>
        <v>61.7476676841992</v>
      </c>
      <c r="Z11" s="35">
        <f t="shared" si="8"/>
        <v>-3793342.7300000153</v>
      </c>
      <c r="AA11" s="35">
        <f t="shared" si="9"/>
        <v>86.076184093589148</v>
      </c>
      <c r="AB11" s="12">
        <f t="shared" si="10"/>
        <v>-476931.58000001311</v>
      </c>
      <c r="AC11" s="35">
        <f>V11/O11%</f>
        <v>98.006734351045139</v>
      </c>
      <c r="AD11" s="26">
        <v>35800000</v>
      </c>
    </row>
    <row r="12" spans="1:31" s="10" customFormat="1" ht="33" hidden="1" customHeight="1" x14ac:dyDescent="0.3">
      <c r="A12" s="9"/>
      <c r="B12" s="116" t="s">
        <v>80</v>
      </c>
      <c r="C12" s="116"/>
      <c r="D12" s="116"/>
      <c r="E12" s="116"/>
      <c r="F12" s="116"/>
      <c r="G12" s="116"/>
      <c r="H12" s="116"/>
      <c r="I12" s="116"/>
      <c r="J12" s="12">
        <v>0</v>
      </c>
      <c r="K12" s="103">
        <v>0</v>
      </c>
      <c r="L12" s="28">
        <f t="shared" si="17"/>
        <v>0</v>
      </c>
      <c r="M12" s="103">
        <v>0</v>
      </c>
      <c r="N12" s="99" t="e">
        <f t="shared" si="15"/>
        <v>#DIV/0!</v>
      </c>
      <c r="O12" s="28">
        <f>M12</f>
        <v>0</v>
      </c>
      <c r="P12" s="12">
        <v>23000</v>
      </c>
      <c r="Q12" s="12">
        <v>53200</v>
      </c>
      <c r="R12" s="12">
        <v>53200</v>
      </c>
      <c r="S12" s="12">
        <v>0</v>
      </c>
      <c r="T12" s="12">
        <v>0</v>
      </c>
      <c r="U12" s="12">
        <v>122736</v>
      </c>
      <c r="V12" s="12">
        <f t="shared" si="16"/>
        <v>122736</v>
      </c>
      <c r="W12" s="12">
        <f t="shared" si="5"/>
        <v>0</v>
      </c>
      <c r="X12" s="12">
        <f t="shared" si="6"/>
        <v>69536</v>
      </c>
      <c r="Y12" s="35">
        <f t="shared" si="7"/>
        <v>230.70676691729324</v>
      </c>
      <c r="Z12" s="35">
        <f t="shared" si="8"/>
        <v>69536</v>
      </c>
      <c r="AA12" s="35">
        <f t="shared" si="9"/>
        <v>230.70676691729321</v>
      </c>
      <c r="AB12" s="12">
        <f t="shared" si="10"/>
        <v>122736</v>
      </c>
      <c r="AC12" s="88">
        <v>0</v>
      </c>
      <c r="AD12" s="26"/>
    </row>
    <row r="13" spans="1:31" s="10" customFormat="1" ht="73.5" hidden="1" customHeight="1" x14ac:dyDescent="0.3">
      <c r="A13" s="9"/>
      <c r="B13" s="45"/>
      <c r="C13" s="45"/>
      <c r="D13" s="45"/>
      <c r="E13" s="45"/>
      <c r="F13" s="45"/>
      <c r="G13" s="45"/>
      <c r="H13" s="45"/>
      <c r="I13" s="45" t="s">
        <v>40</v>
      </c>
      <c r="J13" s="12">
        <v>36867000</v>
      </c>
      <c r="K13" s="103">
        <v>39134518.589999989</v>
      </c>
      <c r="L13" s="27">
        <f t="shared" si="17"/>
        <v>39134518.589999989</v>
      </c>
      <c r="M13" s="103">
        <v>30837776.129999999</v>
      </c>
      <c r="N13" s="99">
        <f t="shared" si="15"/>
        <v>83.646014403124738</v>
      </c>
      <c r="O13" s="28">
        <f>M13</f>
        <v>30837776.129999999</v>
      </c>
      <c r="P13" s="12">
        <v>38907000</v>
      </c>
      <c r="Q13" s="12">
        <v>38850000</v>
      </c>
      <c r="R13" s="12">
        <v>30457542.690000001</v>
      </c>
      <c r="S13" s="12">
        <f>115058.58+10348.19+11.31</f>
        <v>125418.08</v>
      </c>
      <c r="T13" s="12">
        <v>155360.57</v>
      </c>
      <c r="U13" s="12">
        <v>29668618.869999997</v>
      </c>
      <c r="V13" s="12">
        <f t="shared" si="16"/>
        <v>29823979.439999998</v>
      </c>
      <c r="W13" s="12">
        <f t="shared" si="5"/>
        <v>29942.490000000005</v>
      </c>
      <c r="X13" s="12">
        <f t="shared" si="6"/>
        <v>-9026020.5600000024</v>
      </c>
      <c r="Y13" s="35">
        <f t="shared" si="7"/>
        <v>76.766999845559837</v>
      </c>
      <c r="Z13" s="35">
        <f t="shared" si="8"/>
        <v>-633563.25000000373</v>
      </c>
      <c r="AA13" s="35">
        <f t="shared" si="9"/>
        <v>97.919847781390388</v>
      </c>
      <c r="AB13" s="12">
        <f t="shared" si="10"/>
        <v>-1013796.6900000013</v>
      </c>
      <c r="AC13" s="35">
        <f t="shared" ref="AC13:AC21" si="18">V13/O13%</f>
        <v>96.712484435562956</v>
      </c>
      <c r="AD13" s="26">
        <f>Q13</f>
        <v>38850000</v>
      </c>
      <c r="AE13" s="109" t="s">
        <v>87</v>
      </c>
    </row>
    <row r="14" spans="1:31" s="10" customFormat="1" ht="70.5" hidden="1" customHeight="1" x14ac:dyDescent="0.3">
      <c r="A14" s="9"/>
      <c r="B14" s="116" t="s">
        <v>22</v>
      </c>
      <c r="C14" s="116"/>
      <c r="D14" s="116"/>
      <c r="E14" s="116"/>
      <c r="F14" s="116"/>
      <c r="G14" s="116"/>
      <c r="H14" s="116"/>
      <c r="I14" s="116"/>
      <c r="J14" s="12">
        <v>0</v>
      </c>
      <c r="K14" s="103">
        <v>51572.41</v>
      </c>
      <c r="L14" s="12">
        <f t="shared" si="17"/>
        <v>51572.41</v>
      </c>
      <c r="M14" s="103">
        <v>32975.050000000003</v>
      </c>
      <c r="N14" s="99" t="e">
        <f t="shared" si="15"/>
        <v>#DIV/0!</v>
      </c>
      <c r="O14" s="95">
        <f>M14-M14+V14</f>
        <v>19221.230000000003</v>
      </c>
      <c r="P14" s="12">
        <v>0</v>
      </c>
      <c r="Q14" s="12">
        <v>0</v>
      </c>
      <c r="R14" s="12">
        <v>0</v>
      </c>
      <c r="S14" s="12">
        <f>2005.56</f>
        <v>2005.56</v>
      </c>
      <c r="T14" s="12">
        <v>0</v>
      </c>
      <c r="U14" s="12">
        <v>19221.230000000003</v>
      </c>
      <c r="V14" s="12">
        <f t="shared" si="16"/>
        <v>19221.230000000003</v>
      </c>
      <c r="W14" s="12">
        <f t="shared" si="5"/>
        <v>-2005.56</v>
      </c>
      <c r="X14" s="12">
        <f t="shared" si="6"/>
        <v>19221.230000000003</v>
      </c>
      <c r="Y14" s="88">
        <v>0</v>
      </c>
      <c r="Z14" s="35">
        <f t="shared" si="8"/>
        <v>19221.230000000003</v>
      </c>
      <c r="AA14" s="88">
        <v>0</v>
      </c>
      <c r="AB14" s="12">
        <f t="shared" si="10"/>
        <v>0</v>
      </c>
      <c r="AC14" s="35">
        <f t="shared" si="18"/>
        <v>100</v>
      </c>
      <c r="AD14" s="26">
        <f>V14</f>
        <v>19221.230000000003</v>
      </c>
      <c r="AE14" s="65"/>
    </row>
    <row r="15" spans="1:31" s="10" customFormat="1" ht="67.5" hidden="1" customHeight="1" x14ac:dyDescent="0.3">
      <c r="A15" s="9"/>
      <c r="B15" s="116" t="s">
        <v>21</v>
      </c>
      <c r="C15" s="116"/>
      <c r="D15" s="116"/>
      <c r="E15" s="116"/>
      <c r="F15" s="116"/>
      <c r="G15" s="116"/>
      <c r="H15" s="116"/>
      <c r="I15" s="116"/>
      <c r="J15" s="12">
        <v>7684271</v>
      </c>
      <c r="K15" s="103">
        <v>7836943.9400000004</v>
      </c>
      <c r="L15" s="12">
        <f t="shared" si="17"/>
        <v>7836943.9400000004</v>
      </c>
      <c r="M15" s="103">
        <v>7796595.8799999999</v>
      </c>
      <c r="N15" s="99">
        <f t="shared" si="15"/>
        <v>101.46175063320905</v>
      </c>
      <c r="O15" s="12">
        <f>M15</f>
        <v>7796595.8799999999</v>
      </c>
      <c r="P15" s="12">
        <v>8121000</v>
      </c>
      <c r="Q15" s="12">
        <v>26941000.010000002</v>
      </c>
      <c r="R15" s="12">
        <v>26941000.010000002</v>
      </c>
      <c r="S15" s="12">
        <f>10473</f>
        <v>10473</v>
      </c>
      <c r="T15" s="12">
        <v>0</v>
      </c>
      <c r="U15" s="12">
        <v>29489274.039999995</v>
      </c>
      <c r="V15" s="12">
        <f t="shared" si="16"/>
        <v>29489274.039999995</v>
      </c>
      <c r="W15" s="12">
        <f t="shared" si="5"/>
        <v>-10473</v>
      </c>
      <c r="X15" s="12">
        <f t="shared" si="6"/>
        <v>2548274.0299999937</v>
      </c>
      <c r="Y15" s="35">
        <f t="shared" ref="Y15:Y21" si="19">V15/Q15%</f>
        <v>109.45872101649576</v>
      </c>
      <c r="Z15" s="35">
        <f t="shared" si="8"/>
        <v>2548274.0299999937</v>
      </c>
      <c r="AA15" s="35">
        <f t="shared" ref="AA15:AA21" si="20">V15/R15*100</f>
        <v>109.45872101649576</v>
      </c>
      <c r="AB15" s="12">
        <f t="shared" si="10"/>
        <v>21692678.159999996</v>
      </c>
      <c r="AC15" s="35">
        <f t="shared" si="18"/>
        <v>378.23268634002869</v>
      </c>
      <c r="AD15" s="26">
        <f>V15</f>
        <v>29489274.039999995</v>
      </c>
      <c r="AE15" s="109" t="s">
        <v>91</v>
      </c>
    </row>
    <row r="16" spans="1:31" s="10" customFormat="1" ht="264.75" hidden="1" customHeight="1" x14ac:dyDescent="0.3">
      <c r="A16" s="9"/>
      <c r="B16" s="116" t="s">
        <v>20</v>
      </c>
      <c r="C16" s="116"/>
      <c r="D16" s="116"/>
      <c r="E16" s="116"/>
      <c r="F16" s="116"/>
      <c r="G16" s="116"/>
      <c r="H16" s="116"/>
      <c r="I16" s="116"/>
      <c r="J16" s="12">
        <v>5750000</v>
      </c>
      <c r="K16" s="103">
        <v>10772531.619999999</v>
      </c>
      <c r="L16" s="12">
        <f t="shared" si="17"/>
        <v>10772531.619999999</v>
      </c>
      <c r="M16" s="103">
        <v>7717198.8300000001</v>
      </c>
      <c r="N16" s="99">
        <f t="shared" si="15"/>
        <v>134.21215356521739</v>
      </c>
      <c r="O16" s="12">
        <f>M16</f>
        <v>7717198.8300000001</v>
      </c>
      <c r="P16" s="12">
        <v>10123000</v>
      </c>
      <c r="Q16" s="12">
        <v>7248000</v>
      </c>
      <c r="R16" s="12">
        <v>3256792.04</v>
      </c>
      <c r="S16" s="12">
        <f>17324+575.91</f>
        <v>17899.91</v>
      </c>
      <c r="T16" s="12">
        <v>-20156.240000000002</v>
      </c>
      <c r="U16" s="12">
        <v>3381299.0599999996</v>
      </c>
      <c r="V16" s="12">
        <f t="shared" si="16"/>
        <v>3361142.8199999994</v>
      </c>
      <c r="W16" s="12">
        <f t="shared" si="5"/>
        <v>-38056.15</v>
      </c>
      <c r="X16" s="12">
        <f t="shared" si="6"/>
        <v>-3886857.1800000006</v>
      </c>
      <c r="Y16" s="35">
        <f t="shared" si="19"/>
        <v>46.373383278145688</v>
      </c>
      <c r="Z16" s="35">
        <f t="shared" si="8"/>
        <v>104350.77999999933</v>
      </c>
      <c r="AA16" s="35">
        <f t="shared" si="20"/>
        <v>103.20409712128868</v>
      </c>
      <c r="AB16" s="12">
        <f t="shared" si="10"/>
        <v>-4356056.0100000007</v>
      </c>
      <c r="AC16" s="35">
        <f t="shared" si="18"/>
        <v>43.553922790401906</v>
      </c>
      <c r="AD16" s="26">
        <v>8155000</v>
      </c>
      <c r="AE16" s="108" t="s">
        <v>88</v>
      </c>
    </row>
    <row r="17" spans="1:31" s="10" customFormat="1" ht="136.5" hidden="1" customHeight="1" x14ac:dyDescent="0.3">
      <c r="A17" s="9"/>
      <c r="B17" s="116" t="s">
        <v>19</v>
      </c>
      <c r="C17" s="116"/>
      <c r="D17" s="116"/>
      <c r="E17" s="116"/>
      <c r="F17" s="116"/>
      <c r="G17" s="116"/>
      <c r="H17" s="116"/>
      <c r="I17" s="116"/>
      <c r="J17" s="12">
        <v>17687000</v>
      </c>
      <c r="K17" s="103">
        <v>20961775.740000002</v>
      </c>
      <c r="L17" s="12">
        <f t="shared" si="17"/>
        <v>20961775.740000002</v>
      </c>
      <c r="M17" s="103">
        <v>6509535.9400000004</v>
      </c>
      <c r="N17" s="99">
        <f t="shared" si="15"/>
        <v>36.804070447221122</v>
      </c>
      <c r="O17" s="12">
        <f>M17</f>
        <v>6509535.9400000004</v>
      </c>
      <c r="P17" s="12">
        <v>18972000</v>
      </c>
      <c r="Q17" s="12">
        <v>18972000</v>
      </c>
      <c r="R17" s="12">
        <v>7123029</v>
      </c>
      <c r="S17" s="12">
        <f>1626.48+2873.04</f>
        <v>4499.5200000000004</v>
      </c>
      <c r="T17" s="12">
        <v>-100151.67999999999</v>
      </c>
      <c r="U17" s="12">
        <v>2299069.0299999998</v>
      </c>
      <c r="V17" s="12">
        <f t="shared" si="16"/>
        <v>2198917.3499999996</v>
      </c>
      <c r="W17" s="12">
        <f t="shared" si="5"/>
        <v>-104651.2</v>
      </c>
      <c r="X17" s="12">
        <f t="shared" si="6"/>
        <v>-16773082.65</v>
      </c>
      <c r="Y17" s="35">
        <f t="shared" si="19"/>
        <v>11.590329696394685</v>
      </c>
      <c r="Z17" s="35">
        <f t="shared" si="8"/>
        <v>-4924111.6500000004</v>
      </c>
      <c r="AA17" s="35">
        <f t="shared" si="20"/>
        <v>30.870537660312763</v>
      </c>
      <c r="AB17" s="12">
        <f t="shared" si="10"/>
        <v>-4310618.5900000008</v>
      </c>
      <c r="AC17" s="35">
        <f t="shared" si="18"/>
        <v>33.779940233343261</v>
      </c>
      <c r="AD17" s="26">
        <f>Q17</f>
        <v>18972000</v>
      </c>
      <c r="AE17" s="109" t="s">
        <v>90</v>
      </c>
    </row>
    <row r="18" spans="1:31" s="10" customFormat="1" ht="24" hidden="1" customHeight="1" x14ac:dyDescent="0.3">
      <c r="A18" s="9"/>
      <c r="B18" s="116" t="s">
        <v>17</v>
      </c>
      <c r="C18" s="116"/>
      <c r="D18" s="116"/>
      <c r="E18" s="116"/>
      <c r="F18" s="116"/>
      <c r="G18" s="116"/>
      <c r="H18" s="116"/>
      <c r="I18" s="116"/>
      <c r="J18" s="12">
        <f t="shared" ref="J18:K18" si="21">J19+J20</f>
        <v>50310000</v>
      </c>
      <c r="K18" s="103">
        <f t="shared" si="21"/>
        <v>62134400.109999992</v>
      </c>
      <c r="L18" s="12">
        <f t="shared" ref="L18:V18" si="22">L19+L20</f>
        <v>62134400.109999992</v>
      </c>
      <c r="M18" s="103">
        <f t="shared" ref="M18" si="23">M19+M20</f>
        <v>26040657.27</v>
      </c>
      <c r="N18" s="99">
        <f t="shared" si="15"/>
        <v>51.760400059630292</v>
      </c>
      <c r="O18" s="12">
        <f>O19+O20</f>
        <v>26040657.27</v>
      </c>
      <c r="P18" s="12">
        <f t="shared" ref="P18:Q18" si="24">P19+P20</f>
        <v>56009000</v>
      </c>
      <c r="Q18" s="12">
        <f t="shared" si="24"/>
        <v>56009000</v>
      </c>
      <c r="R18" s="12">
        <f t="shared" ref="R18" si="25">R19+R20</f>
        <v>26368534</v>
      </c>
      <c r="S18" s="12">
        <f t="shared" ref="S18:T18" si="26">S19+S20</f>
        <v>234422.21000000002</v>
      </c>
      <c r="T18" s="12">
        <f t="shared" si="26"/>
        <v>152467.40000000002</v>
      </c>
      <c r="U18" s="12">
        <v>23052842.539999995</v>
      </c>
      <c r="V18" s="12">
        <f t="shared" si="22"/>
        <v>23205309.939999994</v>
      </c>
      <c r="W18" s="12">
        <f t="shared" si="5"/>
        <v>-81954.81</v>
      </c>
      <c r="X18" s="12">
        <f t="shared" si="6"/>
        <v>-32803690.060000006</v>
      </c>
      <c r="Y18" s="35">
        <f t="shared" si="19"/>
        <v>41.431394847256684</v>
      </c>
      <c r="Z18" s="35">
        <f t="shared" si="8"/>
        <v>-3163224.0600000061</v>
      </c>
      <c r="AA18" s="35">
        <f t="shared" si="20"/>
        <v>88.003792474773121</v>
      </c>
      <c r="AB18" s="12">
        <f t="shared" si="10"/>
        <v>-2835347.3300000057</v>
      </c>
      <c r="AC18" s="35">
        <f t="shared" si="18"/>
        <v>89.111844218822952</v>
      </c>
      <c r="AD18" s="103">
        <f t="shared" ref="AD18" si="27">AD19+AD20</f>
        <v>53919428.569999993</v>
      </c>
      <c r="AE18" s="5"/>
    </row>
    <row r="19" spans="1:31" s="5" customFormat="1" ht="146.25" hidden="1" customHeight="1" x14ac:dyDescent="0.3">
      <c r="A19" s="4"/>
      <c r="B19" s="31"/>
      <c r="C19" s="31"/>
      <c r="D19" s="31"/>
      <c r="E19" s="31"/>
      <c r="F19" s="31"/>
      <c r="G19" s="31"/>
      <c r="H19" s="31"/>
      <c r="I19" s="42" t="s">
        <v>70</v>
      </c>
      <c r="J19" s="50">
        <f>20442016.28+1713.92</f>
        <v>20443730.200000003</v>
      </c>
      <c r="K19" s="87">
        <v>23379655.739999995</v>
      </c>
      <c r="L19" s="13">
        <f>K19</f>
        <v>23379655.739999995</v>
      </c>
      <c r="M19" s="105">
        <v>17231392.879999999</v>
      </c>
      <c r="N19" s="99">
        <f t="shared" si="15"/>
        <v>84.286931550290163</v>
      </c>
      <c r="O19" s="13">
        <f>M19</f>
        <v>17231392.879999999</v>
      </c>
      <c r="P19" s="50">
        <v>20139000</v>
      </c>
      <c r="Q19" s="50">
        <v>20139000</v>
      </c>
      <c r="R19" s="50">
        <v>17694218</v>
      </c>
      <c r="S19" s="13">
        <f>126493.71+48466.67</f>
        <v>174960.38</v>
      </c>
      <c r="T19" s="13">
        <v>74682.13</v>
      </c>
      <c r="U19" s="13">
        <v>17974746.439999998</v>
      </c>
      <c r="V19" s="13">
        <f>U19+T19</f>
        <v>18049428.569999997</v>
      </c>
      <c r="W19" s="13">
        <f t="shared" si="5"/>
        <v>-100278.25</v>
      </c>
      <c r="X19" s="13">
        <f t="shared" si="6"/>
        <v>-2089571.4300000034</v>
      </c>
      <c r="Y19" s="33">
        <f t="shared" si="19"/>
        <v>89.624254282734981</v>
      </c>
      <c r="Z19" s="33">
        <f t="shared" si="8"/>
        <v>355210.56999999657</v>
      </c>
      <c r="AA19" s="33">
        <f t="shared" si="20"/>
        <v>102.00749516028343</v>
      </c>
      <c r="AB19" s="13">
        <f t="shared" si="10"/>
        <v>818035.68999999762</v>
      </c>
      <c r="AC19" s="33">
        <f t="shared" si="18"/>
        <v>104.74735673254521</v>
      </c>
      <c r="AD19" s="23">
        <f>V19</f>
        <v>18049428.569999997</v>
      </c>
      <c r="AE19" s="111" t="s">
        <v>83</v>
      </c>
    </row>
    <row r="20" spans="1:31" s="5" customFormat="1" ht="137.25" hidden="1" customHeight="1" x14ac:dyDescent="0.3">
      <c r="A20" s="4"/>
      <c r="B20" s="31" t="s">
        <v>8</v>
      </c>
      <c r="C20" s="31" t="s">
        <v>18</v>
      </c>
      <c r="D20" s="31" t="s">
        <v>17</v>
      </c>
      <c r="E20" s="31"/>
      <c r="F20" s="31"/>
      <c r="G20" s="6"/>
      <c r="H20" s="6"/>
      <c r="I20" s="42" t="s">
        <v>71</v>
      </c>
      <c r="J20" s="50">
        <v>29866269.800000001</v>
      </c>
      <c r="K20" s="87">
        <v>38754744.369999997</v>
      </c>
      <c r="L20" s="13">
        <f>K20</f>
        <v>38754744.369999997</v>
      </c>
      <c r="M20" s="105">
        <v>8809264.3900000006</v>
      </c>
      <c r="N20" s="99">
        <f t="shared" si="15"/>
        <v>29.495696814471287</v>
      </c>
      <c r="O20" s="13">
        <f>M20</f>
        <v>8809264.3900000006</v>
      </c>
      <c r="P20" s="50">
        <v>35870000</v>
      </c>
      <c r="Q20" s="50">
        <v>35870000</v>
      </c>
      <c r="R20" s="50">
        <v>8674316</v>
      </c>
      <c r="S20" s="13">
        <f>52306.49+7155.34</f>
        <v>59461.83</v>
      </c>
      <c r="T20" s="13">
        <v>77785.27</v>
      </c>
      <c r="U20" s="13">
        <v>5078096.0999999987</v>
      </c>
      <c r="V20" s="13">
        <f>U20+T20</f>
        <v>5155881.3699999982</v>
      </c>
      <c r="W20" s="13">
        <f t="shared" si="5"/>
        <v>18323.440000000002</v>
      </c>
      <c r="X20" s="13">
        <f t="shared" si="6"/>
        <v>-30714118.630000003</v>
      </c>
      <c r="Y20" s="35">
        <f t="shared" si="19"/>
        <v>14.373798076386947</v>
      </c>
      <c r="Z20" s="35">
        <f t="shared" si="8"/>
        <v>-3518434.6300000018</v>
      </c>
      <c r="AA20" s="35">
        <f t="shared" si="20"/>
        <v>59.438477569874081</v>
      </c>
      <c r="AB20" s="13">
        <f t="shared" si="10"/>
        <v>-3653383.0200000023</v>
      </c>
      <c r="AC20" s="33">
        <f t="shared" si="18"/>
        <v>58.527944465519639</v>
      </c>
      <c r="AD20" s="23">
        <f>Q20</f>
        <v>35870000</v>
      </c>
      <c r="AE20" s="109" t="s">
        <v>89</v>
      </c>
    </row>
    <row r="21" spans="1:31" s="10" customFormat="1" ht="30.75" hidden="1" customHeight="1" x14ac:dyDescent="0.3">
      <c r="A21" s="9"/>
      <c r="B21" s="116" t="s">
        <v>16</v>
      </c>
      <c r="C21" s="116"/>
      <c r="D21" s="116"/>
      <c r="E21" s="116"/>
      <c r="F21" s="116"/>
      <c r="G21" s="116"/>
      <c r="H21" s="116"/>
      <c r="I21" s="116"/>
      <c r="J21" s="12">
        <v>24191752</v>
      </c>
      <c r="K21" s="103">
        <v>27111652.340000004</v>
      </c>
      <c r="L21" s="12">
        <f>K21</f>
        <v>27111652.340000004</v>
      </c>
      <c r="M21" s="103">
        <v>19513579.859999999</v>
      </c>
      <c r="N21" s="99">
        <f t="shared" si="15"/>
        <v>80.662119304133086</v>
      </c>
      <c r="O21" s="12">
        <f>M21</f>
        <v>19513579.859999999</v>
      </c>
      <c r="P21" s="12">
        <v>23209000</v>
      </c>
      <c r="Q21" s="12">
        <v>23209000</v>
      </c>
      <c r="R21" s="12">
        <v>18635271.800000001</v>
      </c>
      <c r="S21" s="12">
        <f>464925.32+73082.4+200</f>
        <v>538207.72</v>
      </c>
      <c r="T21" s="12">
        <v>595373.11</v>
      </c>
      <c r="U21" s="12">
        <v>19353473.050000008</v>
      </c>
      <c r="V21" s="12">
        <f>U21+T21</f>
        <v>19948846.160000008</v>
      </c>
      <c r="W21" s="12">
        <f t="shared" si="5"/>
        <v>57165.390000000014</v>
      </c>
      <c r="X21" s="12">
        <f t="shared" si="6"/>
        <v>-3260153.8399999924</v>
      </c>
      <c r="Y21" s="35">
        <f t="shared" si="19"/>
        <v>85.95306200180967</v>
      </c>
      <c r="Z21" s="35">
        <f t="shared" si="8"/>
        <v>1313574.3600000069</v>
      </c>
      <c r="AA21" s="35">
        <f t="shared" si="20"/>
        <v>107.04886075232885</v>
      </c>
      <c r="AB21" s="12">
        <f t="shared" si="10"/>
        <v>435266.3000000082</v>
      </c>
      <c r="AC21" s="35">
        <f t="shared" si="18"/>
        <v>102.23058148798336</v>
      </c>
      <c r="AD21" s="26">
        <v>22000000</v>
      </c>
      <c r="AE21" s="65"/>
    </row>
    <row r="22" spans="1:31" s="10" customFormat="1" ht="62.25" hidden="1" customHeight="1" x14ac:dyDescent="0.3">
      <c r="A22" s="9"/>
      <c r="B22" s="119" t="s">
        <v>44</v>
      </c>
      <c r="C22" s="119"/>
      <c r="D22" s="119"/>
      <c r="E22" s="119"/>
      <c r="F22" s="119"/>
      <c r="G22" s="119"/>
      <c r="H22" s="119"/>
      <c r="I22" s="119"/>
      <c r="J22" s="12">
        <v>0</v>
      </c>
      <c r="K22" s="103">
        <v>0</v>
      </c>
      <c r="L22" s="12">
        <f>K22</f>
        <v>0</v>
      </c>
      <c r="M22" s="103">
        <v>0</v>
      </c>
      <c r="N22" s="99" t="e">
        <f t="shared" si="15"/>
        <v>#DIV/0!</v>
      </c>
      <c r="O22" s="12">
        <f>M22</f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f>U22+T22</f>
        <v>0</v>
      </c>
      <c r="W22" s="12">
        <v>0</v>
      </c>
      <c r="X22" s="12">
        <f t="shared" si="6"/>
        <v>0</v>
      </c>
      <c r="Y22" s="35">
        <v>0</v>
      </c>
      <c r="Z22" s="35">
        <f t="shared" si="8"/>
        <v>0</v>
      </c>
      <c r="AA22" s="35">
        <v>0</v>
      </c>
      <c r="AB22" s="12">
        <f t="shared" si="10"/>
        <v>0</v>
      </c>
      <c r="AC22" s="35">
        <v>0</v>
      </c>
      <c r="AD22" s="26">
        <v>0</v>
      </c>
    </row>
    <row r="23" spans="1:31" s="10" customFormat="1" ht="37.5" hidden="1" customHeight="1" x14ac:dyDescent="0.3">
      <c r="A23" s="9"/>
      <c r="B23" s="51"/>
      <c r="C23" s="51"/>
      <c r="D23" s="51"/>
      <c r="E23" s="51"/>
      <c r="F23" s="51"/>
      <c r="G23" s="51"/>
      <c r="H23" s="51"/>
      <c r="I23" s="56" t="s">
        <v>50</v>
      </c>
      <c r="J23" s="54">
        <f>J24+J34+J35+J43+J46+J48</f>
        <v>87477597.310000002</v>
      </c>
      <c r="K23" s="54">
        <f>K24+K34+K35+K43+K46+K48</f>
        <v>95187278.199999988</v>
      </c>
      <c r="L23" s="54">
        <f>L24+L34+L35+L43+L46+L48</f>
        <v>95187278.199999988</v>
      </c>
      <c r="M23" s="54">
        <f>M24+M34+M35+M43+M46+M48</f>
        <v>66977226.890000001</v>
      </c>
      <c r="N23" s="55">
        <f t="shared" si="15"/>
        <v>76.565005155146721</v>
      </c>
      <c r="O23" s="54">
        <f t="shared" ref="O23:T23" si="28">O24+O34+O35+O43+O46+O48</f>
        <v>64508622.380000003</v>
      </c>
      <c r="P23" s="54">
        <f t="shared" si="28"/>
        <v>94773282.909999996</v>
      </c>
      <c r="Q23" s="54">
        <f t="shared" si="28"/>
        <v>95462943.060000002</v>
      </c>
      <c r="R23" s="54">
        <f t="shared" si="28"/>
        <v>70935137.290000007</v>
      </c>
      <c r="S23" s="54">
        <f t="shared" ref="S23" si="29">S24+S34+S35+S43+S46+S48</f>
        <v>1642219.2300000002</v>
      </c>
      <c r="T23" s="54">
        <f t="shared" si="28"/>
        <v>1131375.7800000003</v>
      </c>
      <c r="U23" s="54">
        <v>71926416.229999989</v>
      </c>
      <c r="V23" s="54">
        <f>V24+V34+V35+V43+V46+V48</f>
        <v>73057792.010000005</v>
      </c>
      <c r="W23" s="54">
        <f t="shared" ref="W23:W61" si="30">T23-S23</f>
        <v>-510843.44999999995</v>
      </c>
      <c r="X23" s="54">
        <f t="shared" si="6"/>
        <v>-22405151.049999997</v>
      </c>
      <c r="Y23" s="55">
        <f t="shared" ref="Y23:Y33" si="31">V23/Q23%</f>
        <v>76.530001766320993</v>
      </c>
      <c r="Z23" s="55">
        <f t="shared" si="8"/>
        <v>2122654.7199999988</v>
      </c>
      <c r="AA23" s="55">
        <f t="shared" ref="AA23:AA33" si="32">V23/R23*100</f>
        <v>102.99238825932213</v>
      </c>
      <c r="AB23" s="54">
        <f t="shared" si="10"/>
        <v>8549169.6300000027</v>
      </c>
      <c r="AC23" s="55">
        <f t="shared" ref="AC23:AC33" si="33">V23/O23%</f>
        <v>113.25275492575167</v>
      </c>
      <c r="AD23" s="54" t="e">
        <f>AD24+AD34+AD35+AD43+AD46+AD48</f>
        <v>#REF!</v>
      </c>
    </row>
    <row r="24" spans="1:31" s="10" customFormat="1" ht="83.25" hidden="1" customHeight="1" x14ac:dyDescent="0.3">
      <c r="A24" s="9"/>
      <c r="B24" s="116" t="s">
        <v>15</v>
      </c>
      <c r="C24" s="116"/>
      <c r="D24" s="116"/>
      <c r="E24" s="116"/>
      <c r="F24" s="116"/>
      <c r="G24" s="116"/>
      <c r="H24" s="116"/>
      <c r="I24" s="116"/>
      <c r="J24" s="12">
        <f>J25+J28+J30</f>
        <v>40050727.879999995</v>
      </c>
      <c r="K24" s="103">
        <f>K25+K28+K30</f>
        <v>43633958.93</v>
      </c>
      <c r="L24" s="12">
        <f>L25+L28+L30</f>
        <v>43633958.93</v>
      </c>
      <c r="M24" s="103">
        <f>M25+M28+M30</f>
        <v>30438519.140000001</v>
      </c>
      <c r="N24" s="99">
        <f t="shared" si="15"/>
        <v>75.99991498581474</v>
      </c>
      <c r="O24" s="12">
        <f t="shared" ref="O24:T24" si="34">O25+O28+O30</f>
        <v>30438519.140000001</v>
      </c>
      <c r="P24" s="12">
        <f t="shared" si="34"/>
        <v>49458030</v>
      </c>
      <c r="Q24" s="12">
        <f t="shared" si="34"/>
        <v>49458030</v>
      </c>
      <c r="R24" s="12">
        <f t="shared" si="34"/>
        <v>35950231.580000006</v>
      </c>
      <c r="S24" s="12">
        <f t="shared" ref="S24" si="35">S25+S28+S30</f>
        <v>893218.99</v>
      </c>
      <c r="T24" s="12">
        <f t="shared" si="34"/>
        <v>193236.14</v>
      </c>
      <c r="U24" s="12">
        <v>34399239.499999993</v>
      </c>
      <c r="V24" s="12">
        <f>V25+V28+V30</f>
        <v>34592475.639999993</v>
      </c>
      <c r="W24" s="12">
        <f t="shared" si="30"/>
        <v>-699982.85</v>
      </c>
      <c r="X24" s="12">
        <f t="shared" si="6"/>
        <v>-14865554.360000007</v>
      </c>
      <c r="Y24" s="35">
        <f t="shared" si="31"/>
        <v>69.943092436152412</v>
      </c>
      <c r="Z24" s="35">
        <f t="shared" si="8"/>
        <v>-1357755.9400000125</v>
      </c>
      <c r="AA24" s="35">
        <f t="shared" si="32"/>
        <v>96.223234509689874</v>
      </c>
      <c r="AB24" s="12">
        <f t="shared" si="10"/>
        <v>4153956.4999999925</v>
      </c>
      <c r="AC24" s="35">
        <f t="shared" si="33"/>
        <v>113.6470387435543</v>
      </c>
      <c r="AD24" s="103" t="e">
        <f>AD25+AD28+#REF!+AD30</f>
        <v>#REF!</v>
      </c>
    </row>
    <row r="25" spans="1:31" s="5" customFormat="1" ht="114.75" hidden="1" customHeight="1" x14ac:dyDescent="0.3">
      <c r="A25" s="4"/>
      <c r="B25" s="31"/>
      <c r="C25" s="31"/>
      <c r="D25" s="31"/>
      <c r="E25" s="31"/>
      <c r="F25" s="31"/>
      <c r="G25" s="31"/>
      <c r="H25" s="31"/>
      <c r="I25" s="64" t="s">
        <v>51</v>
      </c>
      <c r="J25" s="12">
        <f>J26+J27</f>
        <v>37585376.519999996</v>
      </c>
      <c r="K25" s="103">
        <f>K26+K27</f>
        <v>40881233.780000001</v>
      </c>
      <c r="L25" s="13">
        <f t="shared" ref="L25:O25" si="36">L26+L27</f>
        <v>40881233.780000001</v>
      </c>
      <c r="M25" s="103">
        <f>M26+M27</f>
        <v>28627960.940000001</v>
      </c>
      <c r="N25" s="99">
        <f t="shared" si="15"/>
        <v>76.167817355152579</v>
      </c>
      <c r="O25" s="12">
        <f t="shared" si="36"/>
        <v>28627960.940000001</v>
      </c>
      <c r="P25" s="12">
        <f>P26+P27</f>
        <v>47395430</v>
      </c>
      <c r="Q25" s="12">
        <f>Q26+Q27</f>
        <v>47227105</v>
      </c>
      <c r="R25" s="12">
        <f>R26+R27</f>
        <v>34091807.980000004</v>
      </c>
      <c r="S25" s="12">
        <f t="shared" ref="S25:T25" si="37">S26+S27</f>
        <v>829259.03</v>
      </c>
      <c r="T25" s="12">
        <f t="shared" si="37"/>
        <v>183304.83000000002</v>
      </c>
      <c r="U25" s="12">
        <v>32501620.889999993</v>
      </c>
      <c r="V25" s="12">
        <f t="shared" ref="V25" si="38">V26+V27</f>
        <v>32684925.719999995</v>
      </c>
      <c r="W25" s="12">
        <f t="shared" si="30"/>
        <v>-645954.19999999995</v>
      </c>
      <c r="X25" s="12">
        <f t="shared" si="6"/>
        <v>-14542179.280000005</v>
      </c>
      <c r="Y25" s="35">
        <f t="shared" si="31"/>
        <v>69.207980713617729</v>
      </c>
      <c r="Z25" s="35">
        <f t="shared" si="8"/>
        <v>-1406882.2600000091</v>
      </c>
      <c r="AA25" s="35">
        <f t="shared" si="32"/>
        <v>95.873254182279339</v>
      </c>
      <c r="AB25" s="12">
        <f t="shared" si="10"/>
        <v>4056964.7799999937</v>
      </c>
      <c r="AC25" s="35">
        <f t="shared" si="33"/>
        <v>114.17133685665841</v>
      </c>
      <c r="AD25" s="103">
        <f>AD26+AD27</f>
        <v>40596497.799999997</v>
      </c>
    </row>
    <row r="26" spans="1:31" s="5" customFormat="1" ht="37.5" hidden="1" customHeight="1" x14ac:dyDescent="0.3">
      <c r="A26" s="4"/>
      <c r="B26" s="31"/>
      <c r="C26" s="31"/>
      <c r="D26" s="31"/>
      <c r="E26" s="31"/>
      <c r="F26" s="31"/>
      <c r="G26" s="31"/>
      <c r="H26" s="31"/>
      <c r="I26" s="47" t="s">
        <v>52</v>
      </c>
      <c r="J26" s="13">
        <v>23857597.879999999</v>
      </c>
      <c r="K26" s="87">
        <v>25869392.800000001</v>
      </c>
      <c r="L26" s="13">
        <f>K26</f>
        <v>25869392.800000001</v>
      </c>
      <c r="M26" s="87">
        <v>19709227.640000001</v>
      </c>
      <c r="N26" s="99">
        <f t="shared" si="15"/>
        <v>82.611953387488327</v>
      </c>
      <c r="O26" s="13">
        <f>M26</f>
        <v>19709227.640000001</v>
      </c>
      <c r="P26" s="13">
        <v>32500000</v>
      </c>
      <c r="Q26" s="13">
        <v>32500000</v>
      </c>
      <c r="R26" s="13">
        <v>25655749.420000002</v>
      </c>
      <c r="S26" s="13">
        <f>619900.14+104317.44</f>
        <v>724217.58000000007</v>
      </c>
      <c r="T26" s="13">
        <v>149764.5</v>
      </c>
      <c r="U26" s="13">
        <v>23806572.199999996</v>
      </c>
      <c r="V26" s="13">
        <f>U26+T26</f>
        <v>23956336.699999996</v>
      </c>
      <c r="W26" s="13">
        <f t="shared" si="30"/>
        <v>-574453.08000000007</v>
      </c>
      <c r="X26" s="13">
        <f t="shared" si="6"/>
        <v>-8543663.3000000045</v>
      </c>
      <c r="Y26" s="33">
        <f t="shared" si="31"/>
        <v>73.711805230769215</v>
      </c>
      <c r="Z26" s="33">
        <f t="shared" si="8"/>
        <v>-1699412.7200000063</v>
      </c>
      <c r="AA26" s="33">
        <f t="shared" si="32"/>
        <v>93.37609402017614</v>
      </c>
      <c r="AB26" s="13">
        <f t="shared" si="10"/>
        <v>4247109.0599999949</v>
      </c>
      <c r="AC26" s="33">
        <f t="shared" si="33"/>
        <v>121.54883558897286</v>
      </c>
      <c r="AD26" s="23">
        <f>L26</f>
        <v>25869392.800000001</v>
      </c>
    </row>
    <row r="27" spans="1:31" s="5" customFormat="1" ht="38.25" hidden="1" customHeight="1" x14ac:dyDescent="0.3">
      <c r="A27" s="4"/>
      <c r="B27" s="31"/>
      <c r="C27" s="31"/>
      <c r="D27" s="31"/>
      <c r="E27" s="31"/>
      <c r="F27" s="31"/>
      <c r="G27" s="31"/>
      <c r="H27" s="31"/>
      <c r="I27" s="47" t="s">
        <v>69</v>
      </c>
      <c r="J27" s="13">
        <f>8632110+5095357.34+308.42+2.88</f>
        <v>13727778.640000001</v>
      </c>
      <c r="K27" s="87">
        <v>15011840.979999999</v>
      </c>
      <c r="L27" s="13">
        <f>K27</f>
        <v>15011840.979999999</v>
      </c>
      <c r="M27" s="87">
        <v>8918733.3000000007</v>
      </c>
      <c r="N27" s="99">
        <f t="shared" si="15"/>
        <v>64.968510447951104</v>
      </c>
      <c r="O27" s="13">
        <f>M27</f>
        <v>8918733.3000000007</v>
      </c>
      <c r="P27" s="13">
        <f>9395430+5500000</f>
        <v>14895430</v>
      </c>
      <c r="Q27" s="13">
        <f>9312873+5414232</f>
        <v>14727105</v>
      </c>
      <c r="R27" s="13">
        <f>4869376.56+3566682</f>
        <v>8436058.5599999987</v>
      </c>
      <c r="S27" s="13">
        <f>105041.45</f>
        <v>105041.45</v>
      </c>
      <c r="T27" s="13">
        <v>33540.33</v>
      </c>
      <c r="U27" s="13">
        <v>8695048.6899999995</v>
      </c>
      <c r="V27" s="13">
        <f>U27+T27</f>
        <v>8728589.0199999996</v>
      </c>
      <c r="W27" s="13">
        <f t="shared" si="30"/>
        <v>-71501.119999999995</v>
      </c>
      <c r="X27" s="12">
        <f t="shared" si="6"/>
        <v>-5998515.9800000004</v>
      </c>
      <c r="Y27" s="33">
        <f t="shared" si="31"/>
        <v>59.268872055981134</v>
      </c>
      <c r="Z27" s="33">
        <f t="shared" si="8"/>
        <v>292530.46000000089</v>
      </c>
      <c r="AA27" s="33">
        <f t="shared" si="32"/>
        <v>103.46762007304038</v>
      </c>
      <c r="AB27" s="13">
        <f t="shared" si="10"/>
        <v>-190144.28000000119</v>
      </c>
      <c r="AC27" s="33">
        <f t="shared" si="33"/>
        <v>97.868034914778747</v>
      </c>
      <c r="AD27" s="23">
        <f>Q27</f>
        <v>14727105</v>
      </c>
      <c r="AE27" s="110"/>
    </row>
    <row r="28" spans="1:31" s="5" customFormat="1" ht="80.25" hidden="1" customHeight="1" x14ac:dyDescent="0.3">
      <c r="A28" s="4"/>
      <c r="B28" s="31"/>
      <c r="C28" s="31"/>
      <c r="D28" s="31"/>
      <c r="E28" s="31"/>
      <c r="F28" s="31"/>
      <c r="G28" s="6"/>
      <c r="H28" s="6"/>
      <c r="I28" s="64" t="s">
        <v>53</v>
      </c>
      <c r="J28" s="12">
        <f t="shared" ref="J28:T28" si="39">J29</f>
        <v>1275541.3599999999</v>
      </c>
      <c r="K28" s="103">
        <f t="shared" si="39"/>
        <v>1490189.2099999995</v>
      </c>
      <c r="L28" s="13">
        <f t="shared" si="39"/>
        <v>1490189.2099999995</v>
      </c>
      <c r="M28" s="103">
        <f t="shared" ref="M28" si="40">M29</f>
        <v>1021793.05</v>
      </c>
      <c r="N28" s="99">
        <f t="shared" si="15"/>
        <v>80.106618416512987</v>
      </c>
      <c r="O28" s="12">
        <f t="shared" si="39"/>
        <v>1021793.05</v>
      </c>
      <c r="P28" s="12">
        <f t="shared" si="39"/>
        <v>718870</v>
      </c>
      <c r="Q28" s="12">
        <f t="shared" si="39"/>
        <v>887195</v>
      </c>
      <c r="R28" s="12">
        <f t="shared" si="39"/>
        <v>792121.6</v>
      </c>
      <c r="S28" s="12">
        <f t="shared" si="39"/>
        <v>32348.6</v>
      </c>
      <c r="T28" s="12">
        <f t="shared" si="39"/>
        <v>5843.2</v>
      </c>
      <c r="U28" s="12">
        <v>828737.12000000011</v>
      </c>
      <c r="V28" s="12">
        <f t="shared" ref="V28" si="41">V29</f>
        <v>834580.32000000007</v>
      </c>
      <c r="W28" s="12">
        <f t="shared" si="30"/>
        <v>-26505.399999999998</v>
      </c>
      <c r="X28" s="12">
        <f t="shared" si="6"/>
        <v>-52614.679999999935</v>
      </c>
      <c r="Y28" s="35">
        <f t="shared" si="31"/>
        <v>94.06954728103743</v>
      </c>
      <c r="Z28" s="35">
        <f t="shared" si="8"/>
        <v>42458.720000000088</v>
      </c>
      <c r="AA28" s="35">
        <f t="shared" si="32"/>
        <v>105.36012652602832</v>
      </c>
      <c r="AB28" s="12">
        <f t="shared" si="10"/>
        <v>-187212.72999999998</v>
      </c>
      <c r="AC28" s="35">
        <f t="shared" si="33"/>
        <v>81.678018851273265</v>
      </c>
      <c r="AD28" s="103">
        <f t="shared" ref="AD28" si="42">AD29</f>
        <v>834580.32000000007</v>
      </c>
      <c r="AE28" s="59"/>
    </row>
    <row r="29" spans="1:31" s="5" customFormat="1" ht="68.25" hidden="1" customHeight="1" x14ac:dyDescent="0.3">
      <c r="A29" s="4"/>
      <c r="B29" s="18"/>
      <c r="C29" s="18"/>
      <c r="D29" s="18"/>
      <c r="E29" s="18"/>
      <c r="F29" s="18"/>
      <c r="G29" s="48"/>
      <c r="H29" s="48"/>
      <c r="I29" s="47" t="s">
        <v>57</v>
      </c>
      <c r="J29" s="15">
        <f>510901.36+764640</f>
        <v>1275541.3599999999</v>
      </c>
      <c r="K29" s="87">
        <v>1490189.2099999995</v>
      </c>
      <c r="L29" s="15">
        <f>K29</f>
        <v>1490189.2099999995</v>
      </c>
      <c r="M29" s="87">
        <v>1021793.05</v>
      </c>
      <c r="N29" s="99">
        <f t="shared" si="15"/>
        <v>80.106618416512987</v>
      </c>
      <c r="O29" s="15">
        <f>M29</f>
        <v>1021793.05</v>
      </c>
      <c r="P29" s="15">
        <f>257320+461550</f>
        <v>718870</v>
      </c>
      <c r="Q29" s="15">
        <f>411095+476100</f>
        <v>887195</v>
      </c>
      <c r="R29" s="15">
        <f>411095+381026.6</f>
        <v>792121.6</v>
      </c>
      <c r="S29" s="13">
        <f>21824.2+10524.4</f>
        <v>32348.6</v>
      </c>
      <c r="T29" s="13">
        <v>5843.2</v>
      </c>
      <c r="U29" s="13">
        <v>828737.12000000011</v>
      </c>
      <c r="V29" s="13">
        <f>U29+T29</f>
        <v>834580.32000000007</v>
      </c>
      <c r="W29" s="13">
        <f t="shared" si="30"/>
        <v>-26505.399999999998</v>
      </c>
      <c r="X29" s="13">
        <f t="shared" si="6"/>
        <v>-52614.679999999935</v>
      </c>
      <c r="Y29" s="33">
        <f t="shared" si="31"/>
        <v>94.06954728103743</v>
      </c>
      <c r="Z29" s="33">
        <f t="shared" si="8"/>
        <v>42458.720000000088</v>
      </c>
      <c r="AA29" s="33">
        <f t="shared" si="32"/>
        <v>105.36012652602832</v>
      </c>
      <c r="AB29" s="13">
        <f t="shared" si="10"/>
        <v>-187212.72999999998</v>
      </c>
      <c r="AC29" s="33">
        <f t="shared" si="33"/>
        <v>81.678018851273265</v>
      </c>
      <c r="AD29" s="23">
        <f>V29</f>
        <v>834580.32000000007</v>
      </c>
      <c r="AE29" s="81" t="s">
        <v>82</v>
      </c>
    </row>
    <row r="30" spans="1:31" s="10" customFormat="1" ht="58.5" hidden="1" customHeight="1" x14ac:dyDescent="0.3">
      <c r="A30" s="9"/>
      <c r="B30" s="30"/>
      <c r="C30" s="30"/>
      <c r="D30" s="30"/>
      <c r="E30" s="30"/>
      <c r="F30" s="30"/>
      <c r="G30" s="11"/>
      <c r="H30" s="11"/>
      <c r="I30" s="63" t="s">
        <v>55</v>
      </c>
      <c r="J30" s="12">
        <f t="shared" ref="J30:S30" si="43">J31+J32+J33</f>
        <v>1189810</v>
      </c>
      <c r="K30" s="103">
        <f t="shared" si="43"/>
        <v>1262535.9400000002</v>
      </c>
      <c r="L30" s="12">
        <f t="shared" si="43"/>
        <v>1262535.9400000002</v>
      </c>
      <c r="M30" s="103">
        <f t="shared" si="43"/>
        <v>788765.15</v>
      </c>
      <c r="N30" s="100">
        <f t="shared" si="43"/>
        <v>196.07604250391842</v>
      </c>
      <c r="O30" s="12">
        <f t="shared" si="43"/>
        <v>788765.15</v>
      </c>
      <c r="P30" s="12">
        <f t="shared" si="43"/>
        <v>1343730</v>
      </c>
      <c r="Q30" s="12">
        <f t="shared" si="43"/>
        <v>1343730</v>
      </c>
      <c r="R30" s="12">
        <f t="shared" si="43"/>
        <v>1066302</v>
      </c>
      <c r="S30" s="12">
        <f t="shared" si="43"/>
        <v>31611.360000000001</v>
      </c>
      <c r="T30" s="12">
        <f t="shared" ref="T30:V30" si="44">T31+T32+T33</f>
        <v>4088.11</v>
      </c>
      <c r="U30" s="12">
        <v>1068881.49</v>
      </c>
      <c r="V30" s="12">
        <f t="shared" si="44"/>
        <v>1072969.5999999999</v>
      </c>
      <c r="W30" s="12">
        <f t="shared" si="30"/>
        <v>-27523.25</v>
      </c>
      <c r="X30" s="12">
        <f t="shared" si="6"/>
        <v>-270760.40000000014</v>
      </c>
      <c r="Y30" s="35">
        <f t="shared" si="31"/>
        <v>79.850088931556186</v>
      </c>
      <c r="Z30" s="35">
        <f t="shared" si="8"/>
        <v>6667.5999999998603</v>
      </c>
      <c r="AA30" s="35">
        <f t="shared" si="32"/>
        <v>100.62530127487332</v>
      </c>
      <c r="AB30" s="12">
        <f t="shared" si="10"/>
        <v>284204.44999999984</v>
      </c>
      <c r="AC30" s="35">
        <f t="shared" si="33"/>
        <v>136.03156782471942</v>
      </c>
      <c r="AD30" s="103" t="e">
        <f>AD31+AD32+AD33+#REF!</f>
        <v>#REF!</v>
      </c>
    </row>
    <row r="31" spans="1:31" s="10" customFormat="1" ht="48.75" hidden="1" customHeight="1" x14ac:dyDescent="0.3">
      <c r="A31" s="9"/>
      <c r="B31" s="30"/>
      <c r="C31" s="30"/>
      <c r="D31" s="30"/>
      <c r="E31" s="30"/>
      <c r="F31" s="30"/>
      <c r="G31" s="11"/>
      <c r="H31" s="11"/>
      <c r="I31" s="86" t="s">
        <v>72</v>
      </c>
      <c r="J31" s="13">
        <v>937855.03</v>
      </c>
      <c r="K31" s="87">
        <v>1011590.8500000001</v>
      </c>
      <c r="L31" s="13">
        <f>K31</f>
        <v>1011590.8500000001</v>
      </c>
      <c r="M31" s="87">
        <v>639674.36</v>
      </c>
      <c r="N31" s="99">
        <f t="shared" si="15"/>
        <v>68.206102173381737</v>
      </c>
      <c r="O31" s="13">
        <f>M31</f>
        <v>639674.36</v>
      </c>
      <c r="P31" s="13">
        <v>968980</v>
      </c>
      <c r="Q31" s="13">
        <v>968980</v>
      </c>
      <c r="R31" s="13">
        <v>746279.07</v>
      </c>
      <c r="S31" s="87">
        <f>28353.09</f>
        <v>28353.09</v>
      </c>
      <c r="T31" s="87">
        <v>2000</v>
      </c>
      <c r="U31" s="13">
        <v>764994.62</v>
      </c>
      <c r="V31" s="13">
        <f>U31+T31</f>
        <v>766994.62</v>
      </c>
      <c r="W31" s="13">
        <f t="shared" si="30"/>
        <v>-26353.09</v>
      </c>
      <c r="X31" s="13">
        <f t="shared" si="6"/>
        <v>-201985.38</v>
      </c>
      <c r="Y31" s="33">
        <f t="shared" si="31"/>
        <v>79.15484530124462</v>
      </c>
      <c r="Z31" s="33">
        <f t="shared" si="8"/>
        <v>20715.550000000047</v>
      </c>
      <c r="AA31" s="33">
        <f t="shared" si="32"/>
        <v>102.77584496641452</v>
      </c>
      <c r="AB31" s="13">
        <f t="shared" si="10"/>
        <v>127320.26000000001</v>
      </c>
      <c r="AC31" s="33">
        <f t="shared" si="33"/>
        <v>119.9039179872709</v>
      </c>
      <c r="AD31" s="26">
        <f>Q31</f>
        <v>968980</v>
      </c>
    </row>
    <row r="32" spans="1:31" s="10" customFormat="1" ht="58.5" hidden="1" customHeight="1" x14ac:dyDescent="0.3">
      <c r="A32" s="9"/>
      <c r="B32" s="30"/>
      <c r="C32" s="30"/>
      <c r="D32" s="30"/>
      <c r="E32" s="30"/>
      <c r="F32" s="30"/>
      <c r="G32" s="11"/>
      <c r="H32" s="11"/>
      <c r="I32" s="47" t="s">
        <v>58</v>
      </c>
      <c r="J32" s="13">
        <v>173890.97</v>
      </c>
      <c r="K32" s="87">
        <v>172881.09</v>
      </c>
      <c r="L32" s="13">
        <f>K32</f>
        <v>172881.09</v>
      </c>
      <c r="M32" s="87">
        <v>89407.79</v>
      </c>
      <c r="N32" s="99">
        <f t="shared" si="15"/>
        <v>51.416005097907039</v>
      </c>
      <c r="O32" s="13">
        <f>M32</f>
        <v>89407.79</v>
      </c>
      <c r="P32" s="13">
        <v>300000</v>
      </c>
      <c r="Q32" s="13">
        <v>300000</v>
      </c>
      <c r="R32" s="13">
        <v>245272.93</v>
      </c>
      <c r="S32" s="87">
        <f>3258.27</f>
        <v>3258.27</v>
      </c>
      <c r="T32" s="87">
        <v>2088.11</v>
      </c>
      <c r="U32" s="13">
        <v>239793.86999999994</v>
      </c>
      <c r="V32" s="13">
        <f>U32+T32</f>
        <v>241881.97999999992</v>
      </c>
      <c r="W32" s="13">
        <f t="shared" si="30"/>
        <v>-1170.1599999999999</v>
      </c>
      <c r="X32" s="13">
        <f t="shared" si="6"/>
        <v>-58118.020000000077</v>
      </c>
      <c r="Y32" s="33">
        <f t="shared" si="31"/>
        <v>80.627326666666647</v>
      </c>
      <c r="Z32" s="33">
        <f t="shared" si="8"/>
        <v>-3390.9500000000698</v>
      </c>
      <c r="AA32" s="33">
        <f t="shared" si="32"/>
        <v>98.617478904011108</v>
      </c>
      <c r="AB32" s="13">
        <f t="shared" si="10"/>
        <v>152474.18999999994</v>
      </c>
      <c r="AC32" s="33">
        <f t="shared" si="33"/>
        <v>270.53792516289684</v>
      </c>
      <c r="AD32" s="26">
        <f>V32</f>
        <v>241881.97999999992</v>
      </c>
    </row>
    <row r="33" spans="1:32" s="10" customFormat="1" ht="58.5" hidden="1" customHeight="1" x14ac:dyDescent="0.3">
      <c r="A33" s="9"/>
      <c r="B33" s="30"/>
      <c r="C33" s="30"/>
      <c r="D33" s="30"/>
      <c r="E33" s="30"/>
      <c r="F33" s="30"/>
      <c r="G33" s="11"/>
      <c r="H33" s="11"/>
      <c r="I33" s="47" t="s">
        <v>59</v>
      </c>
      <c r="J33" s="13">
        <v>78064</v>
      </c>
      <c r="K33" s="87">
        <v>78064</v>
      </c>
      <c r="L33" s="13">
        <f>K33</f>
        <v>78064</v>
      </c>
      <c r="M33" s="87">
        <v>59683</v>
      </c>
      <c r="N33" s="99">
        <f t="shared" si="15"/>
        <v>76.453935232629632</v>
      </c>
      <c r="O33" s="13">
        <f>M33</f>
        <v>59683</v>
      </c>
      <c r="P33" s="13">
        <v>74750</v>
      </c>
      <c r="Q33" s="13">
        <v>74750</v>
      </c>
      <c r="R33" s="13">
        <v>74750</v>
      </c>
      <c r="S33" s="87">
        <v>0</v>
      </c>
      <c r="T33" s="87">
        <v>0</v>
      </c>
      <c r="U33" s="13">
        <v>64093</v>
      </c>
      <c r="V33" s="13">
        <f>U33+T33</f>
        <v>64093</v>
      </c>
      <c r="W33" s="13">
        <f t="shared" si="30"/>
        <v>0</v>
      </c>
      <c r="X33" s="13">
        <f t="shared" si="6"/>
        <v>-10657</v>
      </c>
      <c r="Y33" s="33">
        <f t="shared" si="31"/>
        <v>85.743143812709036</v>
      </c>
      <c r="Z33" s="33">
        <f t="shared" si="8"/>
        <v>-10657</v>
      </c>
      <c r="AA33" s="33">
        <f t="shared" si="32"/>
        <v>85.743143812709036</v>
      </c>
      <c r="AB33" s="13">
        <f t="shared" si="10"/>
        <v>4410</v>
      </c>
      <c r="AC33" s="33">
        <f t="shared" si="33"/>
        <v>107.38903875475428</v>
      </c>
      <c r="AD33" s="26">
        <f>V33</f>
        <v>64093</v>
      </c>
    </row>
    <row r="34" spans="1:32" s="10" customFormat="1" ht="40.5" hidden="1" customHeight="1" x14ac:dyDescent="0.3">
      <c r="A34" s="9"/>
      <c r="B34" s="116" t="s">
        <v>14</v>
      </c>
      <c r="C34" s="116"/>
      <c r="D34" s="116"/>
      <c r="E34" s="116"/>
      <c r="F34" s="116"/>
      <c r="G34" s="116"/>
      <c r="H34" s="116"/>
      <c r="I34" s="116"/>
      <c r="J34" s="12">
        <v>532200</v>
      </c>
      <c r="K34" s="103">
        <v>2613454.9399999976</v>
      </c>
      <c r="L34" s="12">
        <f>K34</f>
        <v>2613454.9399999976</v>
      </c>
      <c r="M34" s="103">
        <v>2416328.5099999998</v>
      </c>
      <c r="N34" s="99">
        <f t="shared" si="15"/>
        <v>454.02640172867336</v>
      </c>
      <c r="O34" s="27">
        <f>M34-M34+V34</f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f>U34+T34</f>
        <v>0</v>
      </c>
      <c r="W34" s="12">
        <f t="shared" si="30"/>
        <v>0</v>
      </c>
      <c r="X34" s="12">
        <f t="shared" si="6"/>
        <v>0</v>
      </c>
      <c r="Y34" s="89">
        <v>0</v>
      </c>
      <c r="Z34" s="35">
        <f t="shared" si="8"/>
        <v>0</v>
      </c>
      <c r="AA34" s="89">
        <v>0</v>
      </c>
      <c r="AB34" s="12">
        <f t="shared" si="10"/>
        <v>0</v>
      </c>
      <c r="AC34" s="89">
        <v>0</v>
      </c>
      <c r="AD34" s="26">
        <f>V34</f>
        <v>0</v>
      </c>
    </row>
    <row r="35" spans="1:32" s="10" customFormat="1" ht="57.75" hidden="1" customHeight="1" x14ac:dyDescent="0.3">
      <c r="A35" s="9"/>
      <c r="B35" s="116" t="s">
        <v>13</v>
      </c>
      <c r="C35" s="116"/>
      <c r="D35" s="116"/>
      <c r="E35" s="116"/>
      <c r="F35" s="116"/>
      <c r="G35" s="116"/>
      <c r="H35" s="116"/>
      <c r="I35" s="116"/>
      <c r="J35" s="12">
        <f>J36+J42</f>
        <v>34512071.939999998</v>
      </c>
      <c r="K35" s="103">
        <f>K36+K42</f>
        <v>35707420.239999995</v>
      </c>
      <c r="L35" s="12">
        <f t="shared" ref="L35:O35" si="45">L36+L42</f>
        <v>35707420.239999995</v>
      </c>
      <c r="M35" s="103">
        <f>M36+M42</f>
        <v>22512524.270000003</v>
      </c>
      <c r="N35" s="99">
        <f t="shared" si="15"/>
        <v>65.230868517945041</v>
      </c>
      <c r="O35" s="12">
        <f t="shared" si="45"/>
        <v>22460248.270000003</v>
      </c>
      <c r="P35" s="12">
        <f>P36+P42</f>
        <v>31177520</v>
      </c>
      <c r="Q35" s="12">
        <f>Q36+Q42</f>
        <v>31522380.149999999</v>
      </c>
      <c r="R35" s="12">
        <f>R36+R42</f>
        <v>20744399.219999999</v>
      </c>
      <c r="S35" s="12">
        <f t="shared" ref="S35:T35" si="46">S36+S42</f>
        <v>741254.92</v>
      </c>
      <c r="T35" s="12">
        <f t="shared" si="46"/>
        <v>872160.31</v>
      </c>
      <c r="U35" s="12">
        <v>23852204.800000004</v>
      </c>
      <c r="V35" s="12">
        <f>V36+V42</f>
        <v>24724365.110000003</v>
      </c>
      <c r="W35" s="12">
        <f t="shared" si="30"/>
        <v>130905.39000000001</v>
      </c>
      <c r="X35" s="12">
        <f t="shared" si="6"/>
        <v>-6798015.0399999954</v>
      </c>
      <c r="Y35" s="35">
        <f>V35/Q35%</f>
        <v>78.43432187654777</v>
      </c>
      <c r="Z35" s="35">
        <f t="shared" si="8"/>
        <v>3979965.8900000043</v>
      </c>
      <c r="AA35" s="35">
        <f>V35/R35*100</f>
        <v>119.1857370646958</v>
      </c>
      <c r="AB35" s="12">
        <f t="shared" si="10"/>
        <v>2264116.84</v>
      </c>
      <c r="AC35" s="35">
        <f>V35/O35%</f>
        <v>110.08055126008632</v>
      </c>
      <c r="AD35" s="103">
        <f>AD36+AD42</f>
        <v>35164641.770000003</v>
      </c>
    </row>
    <row r="36" spans="1:32" s="5" customFormat="1" ht="39" hidden="1" customHeight="1" x14ac:dyDescent="0.3">
      <c r="A36" s="4"/>
      <c r="B36" s="117" t="s">
        <v>46</v>
      </c>
      <c r="C36" s="117"/>
      <c r="D36" s="117"/>
      <c r="E36" s="117"/>
      <c r="F36" s="117"/>
      <c r="G36" s="117"/>
      <c r="H36" s="117"/>
      <c r="I36" s="117"/>
      <c r="J36" s="13">
        <f t="shared" ref="J36:K36" si="47">J37+J38+J41+J39+J40</f>
        <v>33600950</v>
      </c>
      <c r="K36" s="87">
        <f t="shared" si="47"/>
        <v>34508446.369999997</v>
      </c>
      <c r="L36" s="13">
        <f t="shared" ref="L36:M36" si="48">L37+L38+L41+L39+L40</f>
        <v>34508446.369999997</v>
      </c>
      <c r="M36" s="87">
        <f t="shared" si="48"/>
        <v>21423865.690000001</v>
      </c>
      <c r="N36" s="99">
        <f t="shared" si="15"/>
        <v>63.759702300083781</v>
      </c>
      <c r="O36" s="13">
        <f t="shared" ref="O36:T36" si="49">O37+O38+O41+O39+O40</f>
        <v>21371589.690000001</v>
      </c>
      <c r="P36" s="13">
        <f t="shared" si="49"/>
        <v>31177520</v>
      </c>
      <c r="Q36" s="13">
        <f t="shared" si="49"/>
        <v>31337430</v>
      </c>
      <c r="R36" s="13">
        <f t="shared" ref="R36:S36" si="50">R37+R38+R41+R39+R40</f>
        <v>20559449.07</v>
      </c>
      <c r="S36" s="13">
        <f t="shared" si="50"/>
        <v>741254.92</v>
      </c>
      <c r="T36" s="13">
        <f t="shared" si="49"/>
        <v>124831.18</v>
      </c>
      <c r="U36" s="13">
        <v>20772322.160000004</v>
      </c>
      <c r="V36" s="13">
        <f>V37+V38+V41+V39+V40</f>
        <v>20897153.340000004</v>
      </c>
      <c r="W36" s="13">
        <f t="shared" si="30"/>
        <v>-616423.74</v>
      </c>
      <c r="X36" s="12">
        <f t="shared" si="6"/>
        <v>-10440276.659999996</v>
      </c>
      <c r="Y36" s="33">
        <f>V36/Q36%</f>
        <v>66.684323953814982</v>
      </c>
      <c r="Z36" s="33">
        <f t="shared" si="8"/>
        <v>337704.27000000328</v>
      </c>
      <c r="AA36" s="33">
        <f>V36/R36*100</f>
        <v>101.64257451087431</v>
      </c>
      <c r="AB36" s="13">
        <f t="shared" si="10"/>
        <v>-474436.34999999776</v>
      </c>
      <c r="AC36" s="33">
        <f>V36/O36%</f>
        <v>97.780060552903123</v>
      </c>
      <c r="AD36" s="87">
        <f t="shared" ref="AD36" si="51">AD37+AD38+AD41+AD39+AD40</f>
        <v>31337430</v>
      </c>
    </row>
    <row r="37" spans="1:32" s="5" customFormat="1" ht="39" hidden="1" customHeight="1" x14ac:dyDescent="0.3">
      <c r="A37" s="4"/>
      <c r="B37" s="31"/>
      <c r="C37" s="31"/>
      <c r="D37" s="31"/>
      <c r="E37" s="31"/>
      <c r="F37" s="31"/>
      <c r="G37" s="31"/>
      <c r="H37" s="31"/>
      <c r="I37" s="34" t="s">
        <v>60</v>
      </c>
      <c r="J37" s="23">
        <v>401950</v>
      </c>
      <c r="K37" s="23">
        <v>442163.6</v>
      </c>
      <c r="L37" s="23">
        <f t="shared" ref="L37:L42" si="52">K37</f>
        <v>442163.6</v>
      </c>
      <c r="M37" s="23">
        <v>335116.62</v>
      </c>
      <c r="N37" s="36">
        <f t="shared" si="15"/>
        <v>83.372713024007965</v>
      </c>
      <c r="O37" s="23">
        <f t="shared" ref="O37:O42" si="53">M37</f>
        <v>335116.62</v>
      </c>
      <c r="P37" s="23">
        <v>120040</v>
      </c>
      <c r="Q37" s="23">
        <v>251000</v>
      </c>
      <c r="R37" s="23">
        <f>120040+130960</f>
        <v>251000</v>
      </c>
      <c r="S37" s="23">
        <f>2055+100</f>
        <v>2155</v>
      </c>
      <c r="T37" s="23">
        <v>9325</v>
      </c>
      <c r="U37" s="23">
        <v>332970</v>
      </c>
      <c r="V37" s="23">
        <f t="shared" ref="V37:V42" si="54">U37+T37</f>
        <v>342295</v>
      </c>
      <c r="W37" s="23">
        <f t="shared" si="30"/>
        <v>7170</v>
      </c>
      <c r="X37" s="23">
        <f t="shared" si="6"/>
        <v>91295</v>
      </c>
      <c r="Y37" s="77">
        <f>V37/Q37%</f>
        <v>136.37250996015936</v>
      </c>
      <c r="Z37" s="77">
        <f t="shared" si="8"/>
        <v>91295</v>
      </c>
      <c r="AA37" s="77">
        <f>V37/R37*100</f>
        <v>136.37250996015936</v>
      </c>
      <c r="AB37" s="23">
        <f t="shared" si="10"/>
        <v>7178.3800000000047</v>
      </c>
      <c r="AC37" s="77">
        <f>V37/O37%</f>
        <v>102.14205430933266</v>
      </c>
      <c r="AD37" s="23">
        <f>Q37</f>
        <v>251000</v>
      </c>
    </row>
    <row r="38" spans="1:32" s="5" customFormat="1" ht="39" hidden="1" customHeight="1" x14ac:dyDescent="0.3">
      <c r="A38" s="4"/>
      <c r="B38" s="31"/>
      <c r="C38" s="31"/>
      <c r="D38" s="31"/>
      <c r="E38" s="31"/>
      <c r="F38" s="31"/>
      <c r="G38" s="31"/>
      <c r="H38" s="31"/>
      <c r="I38" s="34" t="s">
        <v>61</v>
      </c>
      <c r="J38" s="23">
        <v>32999000</v>
      </c>
      <c r="K38" s="23">
        <v>33660206.769999996</v>
      </c>
      <c r="L38" s="23">
        <f t="shared" si="52"/>
        <v>33660206.769999996</v>
      </c>
      <c r="M38" s="23">
        <v>20821173.07</v>
      </c>
      <c r="N38" s="36">
        <f t="shared" si="15"/>
        <v>63.096375859874541</v>
      </c>
      <c r="O38" s="23">
        <f t="shared" si="53"/>
        <v>20821173.07</v>
      </c>
      <c r="P38" s="23">
        <v>30857480</v>
      </c>
      <c r="Q38" s="23">
        <v>30857480</v>
      </c>
      <c r="R38" s="23">
        <v>20079499.07</v>
      </c>
      <c r="S38" s="23">
        <f>720996.01+17353.91</f>
        <v>738349.92</v>
      </c>
      <c r="T38" s="23">
        <v>94206.18</v>
      </c>
      <c r="U38" s="23">
        <v>20162152.160000004</v>
      </c>
      <c r="V38" s="23">
        <f t="shared" si="54"/>
        <v>20256358.340000004</v>
      </c>
      <c r="W38" s="23">
        <f t="shared" si="30"/>
        <v>-644143.74</v>
      </c>
      <c r="X38" s="23">
        <f t="shared" si="6"/>
        <v>-10601121.659999996</v>
      </c>
      <c r="Y38" s="77">
        <f>V38/Q38%</f>
        <v>65.644888500292325</v>
      </c>
      <c r="Z38" s="77">
        <f t="shared" si="8"/>
        <v>176859.27000000328</v>
      </c>
      <c r="AA38" s="77">
        <f>V38/R38*100</f>
        <v>100.88079522991806</v>
      </c>
      <c r="AB38" s="23">
        <f t="shared" si="10"/>
        <v>-564814.72999999672</v>
      </c>
      <c r="AC38" s="77">
        <f>V38/O38%</f>
        <v>97.287305916428863</v>
      </c>
      <c r="AD38" s="23">
        <f>Q38</f>
        <v>30857480</v>
      </c>
    </row>
    <row r="39" spans="1:32" s="5" customFormat="1" ht="39" hidden="1" customHeight="1" x14ac:dyDescent="0.3">
      <c r="A39" s="4"/>
      <c r="B39" s="31"/>
      <c r="C39" s="31"/>
      <c r="D39" s="31"/>
      <c r="E39" s="31"/>
      <c r="F39" s="31"/>
      <c r="G39" s="31"/>
      <c r="H39" s="31"/>
      <c r="I39" s="34" t="s">
        <v>62</v>
      </c>
      <c r="J39" s="23">
        <f>1400000-1400000</f>
        <v>0</v>
      </c>
      <c r="K39" s="23">
        <v>52276</v>
      </c>
      <c r="L39" s="23">
        <f t="shared" si="52"/>
        <v>52276</v>
      </c>
      <c r="M39" s="23">
        <v>52276</v>
      </c>
      <c r="N39" s="36" t="e">
        <f t="shared" si="15"/>
        <v>#DIV/0!</v>
      </c>
      <c r="O39" s="106">
        <f>M39-M39+V39</f>
        <v>0</v>
      </c>
      <c r="P39" s="23">
        <v>0</v>
      </c>
      <c r="Q39" s="23">
        <v>0</v>
      </c>
      <c r="R39" s="23">
        <f>1400000-1400000</f>
        <v>0</v>
      </c>
      <c r="S39" s="23">
        <v>0</v>
      </c>
      <c r="T39" s="23">
        <v>0</v>
      </c>
      <c r="U39" s="23">
        <v>0</v>
      </c>
      <c r="V39" s="23">
        <f t="shared" si="54"/>
        <v>0</v>
      </c>
      <c r="W39" s="23">
        <f t="shared" si="30"/>
        <v>0</v>
      </c>
      <c r="X39" s="23">
        <f t="shared" ref="X39:X61" si="55">V39-Q39</f>
        <v>0</v>
      </c>
      <c r="Y39" s="89">
        <v>0</v>
      </c>
      <c r="Z39" s="77">
        <f t="shared" ref="Z39:Z61" si="56">V39-R39</f>
        <v>0</v>
      </c>
      <c r="AA39" s="89">
        <v>0</v>
      </c>
      <c r="AB39" s="23">
        <f t="shared" ref="AB39:AB61" si="57">V39-O39</f>
        <v>0</v>
      </c>
      <c r="AC39" s="89">
        <v>0</v>
      </c>
      <c r="AD39" s="23">
        <f>Q39</f>
        <v>0</v>
      </c>
    </row>
    <row r="40" spans="1:32" s="5" customFormat="1" ht="39" hidden="1" customHeight="1" x14ac:dyDescent="0.3">
      <c r="A40" s="4"/>
      <c r="B40" s="31"/>
      <c r="C40" s="31"/>
      <c r="D40" s="31"/>
      <c r="E40" s="31"/>
      <c r="F40" s="31"/>
      <c r="G40" s="31"/>
      <c r="H40" s="31"/>
      <c r="I40" s="34" t="s">
        <v>63</v>
      </c>
      <c r="J40" s="23">
        <v>200000</v>
      </c>
      <c r="K40" s="23">
        <v>308200</v>
      </c>
      <c r="L40" s="23">
        <f t="shared" si="52"/>
        <v>308200</v>
      </c>
      <c r="M40" s="23">
        <v>181700</v>
      </c>
      <c r="N40" s="36">
        <f t="shared" si="15"/>
        <v>90.85</v>
      </c>
      <c r="O40" s="23">
        <f t="shared" si="53"/>
        <v>181700</v>
      </c>
      <c r="P40" s="23">
        <v>200000</v>
      </c>
      <c r="Q40" s="23">
        <v>200000</v>
      </c>
      <c r="R40" s="23">
        <v>200000</v>
      </c>
      <c r="S40" s="23">
        <v>0</v>
      </c>
      <c r="T40" s="23">
        <v>20700</v>
      </c>
      <c r="U40" s="23">
        <v>244800</v>
      </c>
      <c r="V40" s="23">
        <f t="shared" si="54"/>
        <v>265500</v>
      </c>
      <c r="W40" s="23">
        <f t="shared" si="30"/>
        <v>20700</v>
      </c>
      <c r="X40" s="23">
        <f t="shared" si="55"/>
        <v>65500</v>
      </c>
      <c r="Y40" s="77">
        <f>V40/Q40%</f>
        <v>132.75</v>
      </c>
      <c r="Z40" s="77">
        <f t="shared" si="56"/>
        <v>65500</v>
      </c>
      <c r="AA40" s="77">
        <f>V40/R40*100</f>
        <v>132.75</v>
      </c>
      <c r="AB40" s="23">
        <f t="shared" si="57"/>
        <v>83800</v>
      </c>
      <c r="AC40" s="77">
        <f>V40/O40%</f>
        <v>146.1199779856907</v>
      </c>
      <c r="AD40" s="23">
        <f>Q40</f>
        <v>200000</v>
      </c>
    </row>
    <row r="41" spans="1:32" s="5" customFormat="1" ht="39" hidden="1" customHeight="1" x14ac:dyDescent="0.3">
      <c r="A41" s="4"/>
      <c r="B41" s="31"/>
      <c r="C41" s="31"/>
      <c r="D41" s="31"/>
      <c r="E41" s="31"/>
      <c r="F41" s="31"/>
      <c r="G41" s="31"/>
      <c r="H41" s="31"/>
      <c r="I41" s="34" t="s">
        <v>64</v>
      </c>
      <c r="J41" s="23">
        <v>0</v>
      </c>
      <c r="K41" s="23">
        <v>45600</v>
      </c>
      <c r="L41" s="23">
        <f t="shared" si="52"/>
        <v>45600</v>
      </c>
      <c r="M41" s="23">
        <v>33600</v>
      </c>
      <c r="N41" s="36" t="e">
        <f t="shared" si="15"/>
        <v>#DIV/0!</v>
      </c>
      <c r="O41" s="23">
        <f t="shared" si="53"/>
        <v>33600</v>
      </c>
      <c r="P41" s="23">
        <v>0</v>
      </c>
      <c r="Q41" s="23">
        <v>28950</v>
      </c>
      <c r="R41" s="23">
        <v>28950</v>
      </c>
      <c r="S41" s="23">
        <f>600+150</f>
        <v>750</v>
      </c>
      <c r="T41" s="23">
        <v>600</v>
      </c>
      <c r="U41" s="23">
        <v>32400.000000000004</v>
      </c>
      <c r="V41" s="23">
        <f t="shared" si="54"/>
        <v>33000</v>
      </c>
      <c r="W41" s="23">
        <f t="shared" si="30"/>
        <v>-150</v>
      </c>
      <c r="X41" s="23">
        <f t="shared" si="55"/>
        <v>4050</v>
      </c>
      <c r="Y41" s="89">
        <v>0</v>
      </c>
      <c r="Z41" s="77">
        <f t="shared" si="56"/>
        <v>4050</v>
      </c>
      <c r="AA41" s="89">
        <v>0</v>
      </c>
      <c r="AB41" s="23">
        <f t="shared" si="57"/>
        <v>-600</v>
      </c>
      <c r="AC41" s="77">
        <f>V41/O41%</f>
        <v>98.214285714285708</v>
      </c>
      <c r="AD41" s="23">
        <f>Q41</f>
        <v>28950</v>
      </c>
    </row>
    <row r="42" spans="1:32" s="5" customFormat="1" ht="43.5" hidden="1" customHeight="1" x14ac:dyDescent="0.3">
      <c r="A42" s="4"/>
      <c r="B42" s="117" t="s">
        <v>12</v>
      </c>
      <c r="C42" s="117"/>
      <c r="D42" s="117"/>
      <c r="E42" s="117"/>
      <c r="F42" s="117"/>
      <c r="G42" s="117"/>
      <c r="H42" s="117"/>
      <c r="I42" s="117"/>
      <c r="J42" s="13">
        <v>911121.94</v>
      </c>
      <c r="K42" s="87">
        <v>1198973.8700000003</v>
      </c>
      <c r="L42" s="13">
        <f t="shared" si="52"/>
        <v>1198973.8700000003</v>
      </c>
      <c r="M42" s="87">
        <v>1088658.58</v>
      </c>
      <c r="N42" s="99">
        <f t="shared" si="15"/>
        <v>119.4854971882249</v>
      </c>
      <c r="O42" s="13">
        <f t="shared" si="53"/>
        <v>1088658.58</v>
      </c>
      <c r="P42" s="13">
        <v>0</v>
      </c>
      <c r="Q42" s="13">
        <v>184950.15</v>
      </c>
      <c r="R42" s="13">
        <v>184950.15</v>
      </c>
      <c r="S42" s="13">
        <v>0</v>
      </c>
      <c r="T42" s="13">
        <v>747329.13</v>
      </c>
      <c r="U42" s="13">
        <v>3079882.64</v>
      </c>
      <c r="V42" s="13">
        <f t="shared" si="54"/>
        <v>3827211.77</v>
      </c>
      <c r="W42" s="13">
        <f t="shared" si="30"/>
        <v>747329.13</v>
      </c>
      <c r="X42" s="13">
        <f t="shared" si="55"/>
        <v>3642261.62</v>
      </c>
      <c r="Y42" s="89">
        <v>0</v>
      </c>
      <c r="Z42" s="33">
        <f t="shared" si="56"/>
        <v>3642261.62</v>
      </c>
      <c r="AA42" s="89">
        <v>0</v>
      </c>
      <c r="AB42" s="13">
        <f t="shared" si="57"/>
        <v>2738553.19</v>
      </c>
      <c r="AC42" s="107">
        <f>V42/O42%</f>
        <v>351.55298826561398</v>
      </c>
      <c r="AD42" s="23">
        <f>V42</f>
        <v>3827211.77</v>
      </c>
    </row>
    <row r="43" spans="1:32" s="10" customFormat="1" ht="60" hidden="1" customHeight="1" x14ac:dyDescent="0.3">
      <c r="A43" s="9"/>
      <c r="B43" s="116" t="s">
        <v>11</v>
      </c>
      <c r="C43" s="116"/>
      <c r="D43" s="116"/>
      <c r="E43" s="116"/>
      <c r="F43" s="116"/>
      <c r="G43" s="116"/>
      <c r="H43" s="116"/>
      <c r="I43" s="116"/>
      <c r="J43" s="12">
        <f t="shared" ref="J43:K43" si="58">J44+J45</f>
        <v>7177391.2300000004</v>
      </c>
      <c r="K43" s="103">
        <f t="shared" si="58"/>
        <v>7372581.2300000004</v>
      </c>
      <c r="L43" s="12">
        <f t="shared" ref="L43:V43" si="59">L44+L45</f>
        <v>7372581.2300000004</v>
      </c>
      <c r="M43" s="103">
        <f t="shared" ref="M43" si="60">M44+M45</f>
        <v>6169430.3499999996</v>
      </c>
      <c r="N43" s="99">
        <f t="shared" si="15"/>
        <v>85.9564450689697</v>
      </c>
      <c r="O43" s="12">
        <f t="shared" si="59"/>
        <v>6169430.3499999996</v>
      </c>
      <c r="P43" s="12">
        <f t="shared" si="59"/>
        <v>250000</v>
      </c>
      <c r="Q43" s="12">
        <f t="shared" si="59"/>
        <v>250000</v>
      </c>
      <c r="R43" s="12">
        <f t="shared" ref="R43:S43" si="61">R44+R45</f>
        <v>250000</v>
      </c>
      <c r="S43" s="12">
        <f t="shared" si="61"/>
        <v>0</v>
      </c>
      <c r="T43" s="12">
        <f t="shared" si="59"/>
        <v>0</v>
      </c>
      <c r="U43" s="12">
        <v>2547070.4700000002</v>
      </c>
      <c r="V43" s="12">
        <f t="shared" si="59"/>
        <v>2547070.4700000002</v>
      </c>
      <c r="W43" s="12">
        <f t="shared" si="30"/>
        <v>0</v>
      </c>
      <c r="X43" s="12">
        <f t="shared" si="55"/>
        <v>2297070.4700000002</v>
      </c>
      <c r="Y43" s="35">
        <f>V43/Q43%</f>
        <v>1018.8281880000001</v>
      </c>
      <c r="Z43" s="35">
        <f t="shared" si="56"/>
        <v>2297070.4700000002</v>
      </c>
      <c r="AA43" s="35">
        <f>V43/R43*100</f>
        <v>1018.8281880000002</v>
      </c>
      <c r="AB43" s="12">
        <f t="shared" si="57"/>
        <v>-3622359.8799999994</v>
      </c>
      <c r="AC43" s="35">
        <f>V43/O43%</f>
        <v>41.285342819373923</v>
      </c>
      <c r="AD43" s="103">
        <f t="shared" ref="AD43" si="62">AD44+AD45</f>
        <v>2547070.4700000002</v>
      </c>
    </row>
    <row r="44" spans="1:32" s="5" customFormat="1" ht="63" hidden="1" customHeight="1" x14ac:dyDescent="0.3">
      <c r="A44" s="4"/>
      <c r="B44" s="117" t="s">
        <v>33</v>
      </c>
      <c r="C44" s="117"/>
      <c r="D44" s="117"/>
      <c r="E44" s="117"/>
      <c r="F44" s="117"/>
      <c r="G44" s="117"/>
      <c r="H44" s="117"/>
      <c r="I44" s="117"/>
      <c r="J44" s="13">
        <v>0</v>
      </c>
      <c r="K44" s="87">
        <v>0</v>
      </c>
      <c r="L44" s="13">
        <f>K44</f>
        <v>0</v>
      </c>
      <c r="M44" s="87">
        <v>0</v>
      </c>
      <c r="N44" s="99" t="e">
        <f t="shared" si="15"/>
        <v>#DIV/0!</v>
      </c>
      <c r="O44" s="13">
        <f>M44</f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40700</v>
      </c>
      <c r="V44" s="13">
        <f>U44+T44</f>
        <v>40700</v>
      </c>
      <c r="W44" s="13">
        <f t="shared" si="30"/>
        <v>0</v>
      </c>
      <c r="X44" s="13">
        <f t="shared" si="55"/>
        <v>40700</v>
      </c>
      <c r="Y44" s="89">
        <v>0</v>
      </c>
      <c r="Z44" s="33">
        <f t="shared" si="56"/>
        <v>40700</v>
      </c>
      <c r="AA44" s="89">
        <v>0</v>
      </c>
      <c r="AB44" s="13">
        <f t="shared" si="57"/>
        <v>40700</v>
      </c>
      <c r="AC44" s="89">
        <v>0</v>
      </c>
      <c r="AD44" s="23">
        <f>V44</f>
        <v>40700</v>
      </c>
    </row>
    <row r="45" spans="1:32" s="5" customFormat="1" ht="65.25" hidden="1" customHeight="1" x14ac:dyDescent="0.3">
      <c r="A45" s="4"/>
      <c r="B45" s="117" t="s">
        <v>10</v>
      </c>
      <c r="C45" s="117"/>
      <c r="D45" s="117"/>
      <c r="E45" s="117"/>
      <c r="F45" s="117"/>
      <c r="G45" s="117"/>
      <c r="H45" s="117"/>
      <c r="I45" s="117"/>
      <c r="J45" s="13">
        <v>7177391.2300000004</v>
      </c>
      <c r="K45" s="87">
        <v>7372581.2300000004</v>
      </c>
      <c r="L45" s="13">
        <f>K45</f>
        <v>7372581.2300000004</v>
      </c>
      <c r="M45" s="87">
        <v>6169430.3499999996</v>
      </c>
      <c r="N45" s="99">
        <f t="shared" si="15"/>
        <v>85.9564450689697</v>
      </c>
      <c r="O45" s="13">
        <f>M45</f>
        <v>6169430.3499999996</v>
      </c>
      <c r="P45" s="13">
        <v>250000</v>
      </c>
      <c r="Q45" s="13">
        <v>250000</v>
      </c>
      <c r="R45" s="13">
        <v>250000</v>
      </c>
      <c r="S45" s="13">
        <v>0</v>
      </c>
      <c r="T45" s="13">
        <v>0</v>
      </c>
      <c r="U45" s="13">
        <v>2506370.4700000002</v>
      </c>
      <c r="V45" s="13">
        <f>U45+T45</f>
        <v>2506370.4700000002</v>
      </c>
      <c r="W45" s="13">
        <f t="shared" si="30"/>
        <v>0</v>
      </c>
      <c r="X45" s="13">
        <f t="shared" si="55"/>
        <v>2256370.4700000002</v>
      </c>
      <c r="Y45" s="33">
        <f>V45/Q45%</f>
        <v>1002.5481880000001</v>
      </c>
      <c r="Z45" s="33">
        <f t="shared" si="56"/>
        <v>2256370.4700000002</v>
      </c>
      <c r="AA45" s="33">
        <f>V45/R45*100</f>
        <v>1002.5481880000001</v>
      </c>
      <c r="AB45" s="13">
        <f t="shared" si="57"/>
        <v>-3663059.8799999994</v>
      </c>
      <c r="AC45" s="33">
        <f t="shared" ref="AC45:AC57" si="63">V45/O45%</f>
        <v>40.625638475681967</v>
      </c>
      <c r="AD45" s="23">
        <f>V45</f>
        <v>2506370.4700000002</v>
      </c>
      <c r="AE45" s="65"/>
    </row>
    <row r="46" spans="1:32" s="10" customFormat="1" ht="39.75" hidden="1" customHeight="1" x14ac:dyDescent="0.3">
      <c r="A46" s="9"/>
      <c r="B46" s="116" t="s">
        <v>9</v>
      </c>
      <c r="C46" s="116"/>
      <c r="D46" s="116"/>
      <c r="E46" s="116"/>
      <c r="F46" s="116"/>
      <c r="G46" s="116"/>
      <c r="H46" s="116"/>
      <c r="I46" s="116"/>
      <c r="J46" s="12">
        <v>2044087.34</v>
      </c>
      <c r="K46" s="103">
        <v>2540917.84</v>
      </c>
      <c r="L46" s="12">
        <f>K46</f>
        <v>2540917.84</v>
      </c>
      <c r="M46" s="103">
        <v>2171351.94</v>
      </c>
      <c r="N46" s="99">
        <f t="shared" si="15"/>
        <v>106.22598641015016</v>
      </c>
      <c r="O46" s="12">
        <f>M46</f>
        <v>2171351.94</v>
      </c>
      <c r="P46" s="12">
        <v>1133520</v>
      </c>
      <c r="Q46" s="12">
        <v>1133520</v>
      </c>
      <c r="R46" s="12">
        <v>891493.58</v>
      </c>
      <c r="S46" s="12">
        <f>5500</f>
        <v>5500</v>
      </c>
      <c r="T46" s="12">
        <v>55179.33</v>
      </c>
      <c r="U46" s="12">
        <v>1663491.1900000002</v>
      </c>
      <c r="V46" s="12">
        <f>U46+T46</f>
        <v>1718670.5200000003</v>
      </c>
      <c r="W46" s="12">
        <f t="shared" si="30"/>
        <v>49679.33</v>
      </c>
      <c r="X46" s="12">
        <f t="shared" si="55"/>
        <v>585150.52000000025</v>
      </c>
      <c r="Y46" s="35">
        <f>V46/Q46%</f>
        <v>151.62242571811703</v>
      </c>
      <c r="Z46" s="35">
        <f t="shared" si="56"/>
        <v>827176.94000000029</v>
      </c>
      <c r="AA46" s="35">
        <f>V46/R46*100</f>
        <v>192.78551843300994</v>
      </c>
      <c r="AB46" s="12">
        <f t="shared" si="57"/>
        <v>-452681.41999999969</v>
      </c>
      <c r="AC46" s="35">
        <f t="shared" si="63"/>
        <v>79.152093603029655</v>
      </c>
      <c r="AD46" s="26">
        <f>V46</f>
        <v>1718670.5200000003</v>
      </c>
    </row>
    <row r="47" spans="1:32" s="20" customFormat="1" ht="30" hidden="1" customHeight="1" x14ac:dyDescent="0.3">
      <c r="A47" s="17"/>
      <c r="B47" s="18"/>
      <c r="C47" s="18"/>
      <c r="D47" s="18"/>
      <c r="E47" s="18"/>
      <c r="F47" s="18"/>
      <c r="G47" s="18"/>
      <c r="H47" s="18"/>
      <c r="I47" s="19" t="s">
        <v>65</v>
      </c>
      <c r="J47" s="21">
        <v>248599.54</v>
      </c>
      <c r="K47" s="104">
        <v>312274.39</v>
      </c>
      <c r="L47" s="94">
        <f>K47</f>
        <v>312274.39</v>
      </c>
      <c r="M47" s="104">
        <v>471977.24</v>
      </c>
      <c r="N47" s="99">
        <f t="shared" si="15"/>
        <v>189.85443014094071</v>
      </c>
      <c r="O47" s="94">
        <f>M47</f>
        <v>471977.24</v>
      </c>
      <c r="P47" s="21">
        <v>247110</v>
      </c>
      <c r="Q47" s="21">
        <v>229824</v>
      </c>
      <c r="R47" s="21">
        <v>147973.57999999999</v>
      </c>
      <c r="S47" s="21">
        <f>3000</f>
        <v>3000</v>
      </c>
      <c r="T47" s="21">
        <v>2737.02</v>
      </c>
      <c r="U47" s="21">
        <v>147978.9</v>
      </c>
      <c r="V47" s="21">
        <f>U47+T47</f>
        <v>150715.91999999998</v>
      </c>
      <c r="W47" s="15">
        <f t="shared" si="30"/>
        <v>-262.98</v>
      </c>
      <c r="X47" s="12">
        <f t="shared" si="55"/>
        <v>-79108.080000000016</v>
      </c>
      <c r="Y47" s="33">
        <f>V47/Q47%</f>
        <v>65.57884294068505</v>
      </c>
      <c r="Z47" s="33">
        <f t="shared" si="56"/>
        <v>2742.3399999999965</v>
      </c>
      <c r="AA47" s="33">
        <f>V47/R47*100</f>
        <v>101.85326326496933</v>
      </c>
      <c r="AB47" s="13">
        <f t="shared" si="57"/>
        <v>-321261.32</v>
      </c>
      <c r="AC47" s="33">
        <f t="shared" si="63"/>
        <v>31.932878797291156</v>
      </c>
      <c r="AD47" s="23">
        <f>V47</f>
        <v>150715.91999999998</v>
      </c>
      <c r="AF47" s="21"/>
    </row>
    <row r="48" spans="1:32" s="10" customFormat="1" ht="36.75" hidden="1" customHeight="1" x14ac:dyDescent="0.3">
      <c r="A48" s="9"/>
      <c r="B48" s="116" t="s">
        <v>7</v>
      </c>
      <c r="C48" s="116"/>
      <c r="D48" s="116"/>
      <c r="E48" s="116"/>
      <c r="F48" s="116"/>
      <c r="G48" s="116"/>
      <c r="H48" s="116"/>
      <c r="I48" s="116"/>
      <c r="J48" s="12">
        <f>J49+J50+J51</f>
        <v>3161118.92</v>
      </c>
      <c r="K48" s="103">
        <f>K49+K50+K51</f>
        <v>3318945.02</v>
      </c>
      <c r="L48" s="12">
        <f t="shared" ref="L48:T48" si="64">L49+L50+L51</f>
        <v>3318945.02</v>
      </c>
      <c r="M48" s="103">
        <f t="shared" si="64"/>
        <v>3269072.6799999997</v>
      </c>
      <c r="N48" s="99">
        <f t="shared" si="15"/>
        <v>103.41504899790355</v>
      </c>
      <c r="O48" s="12">
        <f t="shared" si="64"/>
        <v>3269072.6799999997</v>
      </c>
      <c r="P48" s="12">
        <f t="shared" ref="P48:Q48" si="65">P49+P51</f>
        <v>12754212.91</v>
      </c>
      <c r="Q48" s="12">
        <f t="shared" si="65"/>
        <v>13099012.91</v>
      </c>
      <c r="R48" s="12">
        <f>R49+R50+R51</f>
        <v>13099012.91</v>
      </c>
      <c r="S48" s="12">
        <f t="shared" ref="S48" si="66">S49+S50+S51</f>
        <v>2245.3200000000002</v>
      </c>
      <c r="T48" s="12">
        <f t="shared" si="64"/>
        <v>10800</v>
      </c>
      <c r="U48" s="12">
        <v>9464410.2699999996</v>
      </c>
      <c r="V48" s="12">
        <f>V49+V50+V51</f>
        <v>9475210.2699999996</v>
      </c>
      <c r="W48" s="12">
        <f t="shared" si="30"/>
        <v>8554.68</v>
      </c>
      <c r="X48" s="12">
        <f t="shared" si="55"/>
        <v>-3623802.6400000006</v>
      </c>
      <c r="Y48" s="35">
        <f>V48/Q48%</f>
        <v>72.335299881767952</v>
      </c>
      <c r="Z48" s="35">
        <f t="shared" si="56"/>
        <v>-3623802.6400000006</v>
      </c>
      <c r="AA48" s="35">
        <f>V48/R48*100</f>
        <v>72.335299881767952</v>
      </c>
      <c r="AB48" s="12">
        <f t="shared" si="57"/>
        <v>6206137.5899999999</v>
      </c>
      <c r="AC48" s="35">
        <f t="shared" si="63"/>
        <v>289.84397709995238</v>
      </c>
      <c r="AD48" s="103">
        <f t="shared" ref="AD48" si="67">AD49+AD50+AD51</f>
        <v>13266820.27</v>
      </c>
    </row>
    <row r="49" spans="1:30" s="5" customFormat="1" ht="23.25" hidden="1" customHeight="1" x14ac:dyDescent="0.3">
      <c r="A49" s="4"/>
      <c r="B49" s="31"/>
      <c r="C49" s="31"/>
      <c r="D49" s="31"/>
      <c r="E49" s="31"/>
      <c r="F49" s="31"/>
      <c r="G49" s="31"/>
      <c r="H49" s="31"/>
      <c r="I49" s="31" t="s">
        <v>56</v>
      </c>
      <c r="J49" s="13">
        <v>0</v>
      </c>
      <c r="K49" s="87">
        <v>-729.14000000001556</v>
      </c>
      <c r="L49" s="13">
        <f>K49</f>
        <v>-729.14000000001556</v>
      </c>
      <c r="M49" s="87">
        <v>-729.14</v>
      </c>
      <c r="N49" s="99" t="e">
        <f t="shared" si="15"/>
        <v>#DIV/0!</v>
      </c>
      <c r="O49" s="13">
        <f>M49</f>
        <v>-729.14</v>
      </c>
      <c r="P49" s="13">
        <v>0</v>
      </c>
      <c r="Q49" s="13">
        <v>0</v>
      </c>
      <c r="R49" s="13">
        <v>0</v>
      </c>
      <c r="S49" s="87">
        <f>792.86-792.86</f>
        <v>0</v>
      </c>
      <c r="T49" s="87">
        <v>0</v>
      </c>
      <c r="U49" s="13">
        <v>-2.3646862246096134E-11</v>
      </c>
      <c r="V49" s="13">
        <f>U49+T49</f>
        <v>-2.3646862246096134E-11</v>
      </c>
      <c r="W49" s="15">
        <f t="shared" si="30"/>
        <v>0</v>
      </c>
      <c r="X49" s="13">
        <f t="shared" si="55"/>
        <v>-2.3646862246096134E-11</v>
      </c>
      <c r="Y49" s="89">
        <v>0</v>
      </c>
      <c r="Z49" s="33">
        <f t="shared" si="56"/>
        <v>-2.3646862246096134E-11</v>
      </c>
      <c r="AA49" s="89">
        <v>0</v>
      </c>
      <c r="AB49" s="13">
        <f t="shared" si="57"/>
        <v>729.13999999997634</v>
      </c>
      <c r="AC49" s="33">
        <f t="shared" si="63"/>
        <v>3.2431168563096439E-12</v>
      </c>
      <c r="AD49" s="23">
        <v>0</v>
      </c>
    </row>
    <row r="50" spans="1:30" s="5" customFormat="1" ht="39.75" hidden="1" customHeight="1" x14ac:dyDescent="0.3">
      <c r="A50" s="4"/>
      <c r="B50" s="31"/>
      <c r="C50" s="31"/>
      <c r="D50" s="31"/>
      <c r="E50" s="31"/>
      <c r="F50" s="31"/>
      <c r="G50" s="31"/>
      <c r="H50" s="31"/>
      <c r="I50" s="31" t="s">
        <v>68</v>
      </c>
      <c r="J50" s="13">
        <v>0</v>
      </c>
      <c r="K50" s="87">
        <v>157455.24000000002</v>
      </c>
      <c r="L50" s="13">
        <f>K50</f>
        <v>157455.24000000002</v>
      </c>
      <c r="M50" s="87">
        <v>128902.9</v>
      </c>
      <c r="N50" s="99" t="e">
        <f t="shared" si="15"/>
        <v>#DIV/0!</v>
      </c>
      <c r="O50" s="13">
        <f>M50</f>
        <v>128902.9</v>
      </c>
      <c r="P50" s="13">
        <v>0</v>
      </c>
      <c r="Q50" s="13">
        <v>0</v>
      </c>
      <c r="R50" s="13">
        <v>0</v>
      </c>
      <c r="S50" s="87">
        <f>1122.66+1122.66</f>
        <v>2245.3200000000002</v>
      </c>
      <c r="T50" s="87">
        <v>800</v>
      </c>
      <c r="U50" s="13">
        <v>167007.36000000002</v>
      </c>
      <c r="V50" s="13">
        <f>U50+T50</f>
        <v>167807.36000000002</v>
      </c>
      <c r="W50" s="15">
        <f t="shared" si="30"/>
        <v>-1445.3200000000002</v>
      </c>
      <c r="X50" s="13">
        <f t="shared" si="55"/>
        <v>167807.36000000002</v>
      </c>
      <c r="Y50" s="89">
        <v>0</v>
      </c>
      <c r="Z50" s="33">
        <f t="shared" si="56"/>
        <v>167807.36000000002</v>
      </c>
      <c r="AA50" s="89">
        <v>0</v>
      </c>
      <c r="AB50" s="13">
        <f t="shared" si="57"/>
        <v>38904.460000000021</v>
      </c>
      <c r="AC50" s="33">
        <f t="shared" si="63"/>
        <v>130.18121392148666</v>
      </c>
      <c r="AD50" s="23">
        <f>V50</f>
        <v>167807.36000000002</v>
      </c>
    </row>
    <row r="51" spans="1:30" s="5" customFormat="1" ht="28.5" hidden="1" customHeight="1" x14ac:dyDescent="0.3">
      <c r="A51" s="4"/>
      <c r="B51" s="31"/>
      <c r="C51" s="31"/>
      <c r="D51" s="31"/>
      <c r="E51" s="31"/>
      <c r="F51" s="31"/>
      <c r="G51" s="31"/>
      <c r="H51" s="31"/>
      <c r="I51" s="31" t="s">
        <v>41</v>
      </c>
      <c r="J51" s="13">
        <v>3161118.92</v>
      </c>
      <c r="K51" s="87">
        <v>3162218.92</v>
      </c>
      <c r="L51" s="13">
        <f>K51</f>
        <v>3162218.92</v>
      </c>
      <c r="M51" s="87">
        <v>3140898.92</v>
      </c>
      <c r="N51" s="99">
        <f t="shared" si="15"/>
        <v>99.360353073967872</v>
      </c>
      <c r="O51" s="13">
        <f>M51</f>
        <v>3140898.92</v>
      </c>
      <c r="P51" s="13">
        <v>12754212.91</v>
      </c>
      <c r="Q51" s="13">
        <v>13099012.91</v>
      </c>
      <c r="R51" s="13">
        <v>13099012.91</v>
      </c>
      <c r="S51" s="13">
        <v>0</v>
      </c>
      <c r="T51" s="13">
        <v>10000</v>
      </c>
      <c r="U51" s="13">
        <v>9297402.9100000001</v>
      </c>
      <c r="V51" s="13">
        <f>U51+T51</f>
        <v>9307402.9100000001</v>
      </c>
      <c r="W51" s="15">
        <f t="shared" si="30"/>
        <v>10000</v>
      </c>
      <c r="X51" s="13">
        <f t="shared" si="55"/>
        <v>-3791610</v>
      </c>
      <c r="Y51" s="33">
        <f t="shared" ref="Y51:Y56" si="68">V51/Q51%</f>
        <v>71.054231139008778</v>
      </c>
      <c r="Z51" s="33">
        <f t="shared" si="56"/>
        <v>-3791610</v>
      </c>
      <c r="AA51" s="33">
        <f t="shared" ref="AA51:AA56" si="69">V51/R51*100</f>
        <v>71.054231139008778</v>
      </c>
      <c r="AB51" s="13">
        <f t="shared" si="57"/>
        <v>6166503.9900000002</v>
      </c>
      <c r="AC51" s="33">
        <f t="shared" si="63"/>
        <v>296.329272194471</v>
      </c>
      <c r="AD51" s="23">
        <f>Q51</f>
        <v>13099012.91</v>
      </c>
    </row>
    <row r="52" spans="1:30" s="10" customFormat="1" ht="23.25" customHeight="1" x14ac:dyDescent="0.3">
      <c r="A52" s="9"/>
      <c r="B52" s="116" t="s">
        <v>1</v>
      </c>
      <c r="C52" s="116"/>
      <c r="D52" s="116"/>
      <c r="E52" s="116"/>
      <c r="F52" s="116"/>
      <c r="G52" s="116"/>
      <c r="H52" s="116"/>
      <c r="I52" s="116"/>
      <c r="J52" s="12">
        <f t="shared" ref="J52:K52" si="70">J53+J54+J55+J56+J57+J59+J60</f>
        <v>1791175348.0600002</v>
      </c>
      <c r="K52" s="103">
        <f t="shared" si="70"/>
        <v>1766716975.3699996</v>
      </c>
      <c r="L52" s="12">
        <f t="shared" ref="L52:T52" si="71">L53+L54+L55+L56+L57+L58+L59+L60</f>
        <v>1766716975.3699996</v>
      </c>
      <c r="M52" s="103">
        <f t="shared" si="71"/>
        <v>1262682722.1399999</v>
      </c>
      <c r="N52" s="99">
        <f t="shared" si="15"/>
        <v>70.494646071787201</v>
      </c>
      <c r="O52" s="12">
        <f t="shared" si="71"/>
        <v>1262682722.1399999</v>
      </c>
      <c r="P52" s="12">
        <f t="shared" ref="P52" si="72">P53+P54+P55+P56+P57+P59+P60</f>
        <v>2103304434.2900002</v>
      </c>
      <c r="Q52" s="12">
        <f>Q53+Q54+Q55+Q56+Q57+Q59+Q60</f>
        <v>2193720363.4200001</v>
      </c>
      <c r="R52" s="12">
        <f t="shared" ref="R52" si="73">R53+R54+R55+R56+R57+R59+R60</f>
        <v>1658106868.8</v>
      </c>
      <c r="S52" s="12">
        <f t="shared" ref="S52" si="74">S53+S54+S55+S56+S57+S58+S59+S60</f>
        <v>29745561.520000003</v>
      </c>
      <c r="T52" s="12">
        <f t="shared" si="71"/>
        <v>24239864.079999998</v>
      </c>
      <c r="U52" s="12">
        <v>1448161049.6300001</v>
      </c>
      <c r="V52" s="12">
        <f>V53+V54+V55+V56+V57+V58+V59+V60</f>
        <v>1472400913.71</v>
      </c>
      <c r="W52" s="12">
        <f t="shared" si="30"/>
        <v>-5505697.4400000051</v>
      </c>
      <c r="X52" s="12">
        <f t="shared" si="55"/>
        <v>-721319449.71000004</v>
      </c>
      <c r="Y52" s="35">
        <f t="shared" si="68"/>
        <v>67.118897114786947</v>
      </c>
      <c r="Z52" s="35">
        <f t="shared" si="56"/>
        <v>-185705955.08999991</v>
      </c>
      <c r="AA52" s="35">
        <f t="shared" si="69"/>
        <v>88.800121476826249</v>
      </c>
      <c r="AB52" s="12">
        <f t="shared" si="57"/>
        <v>209718191.57000017</v>
      </c>
      <c r="AC52" s="35">
        <f t="shared" si="63"/>
        <v>116.60893808815004</v>
      </c>
      <c r="AD52" s="103">
        <f t="shared" ref="AD52" si="75">AD53+AD54+AD55+AD56+AD57+AD58+AD59+AD60</f>
        <v>2191450182.4000001</v>
      </c>
    </row>
    <row r="53" spans="1:30" s="10" customFormat="1" ht="38.25" customHeight="1" x14ac:dyDescent="0.3">
      <c r="A53" s="9"/>
      <c r="B53" s="116" t="s">
        <v>6</v>
      </c>
      <c r="C53" s="116"/>
      <c r="D53" s="116"/>
      <c r="E53" s="116"/>
      <c r="F53" s="116"/>
      <c r="G53" s="116"/>
      <c r="H53" s="116"/>
      <c r="I53" s="116"/>
      <c r="J53" s="12">
        <v>572641890</v>
      </c>
      <c r="K53" s="103">
        <v>572641890</v>
      </c>
      <c r="L53" s="12">
        <f>K53</f>
        <v>572641890</v>
      </c>
      <c r="M53" s="103">
        <v>429105753</v>
      </c>
      <c r="N53" s="99">
        <f t="shared" si="15"/>
        <v>74.934398005706498</v>
      </c>
      <c r="O53" s="12">
        <f t="shared" ref="O53:O60" si="76">M53</f>
        <v>429105753</v>
      </c>
      <c r="P53" s="12">
        <v>646456000</v>
      </c>
      <c r="Q53" s="12">
        <v>646456000</v>
      </c>
      <c r="R53" s="12">
        <v>484841997</v>
      </c>
      <c r="S53" s="12">
        <v>0</v>
      </c>
      <c r="T53" s="12">
        <v>0</v>
      </c>
      <c r="U53" s="12">
        <v>484841997</v>
      </c>
      <c r="V53" s="12">
        <f t="shared" ref="V53:V60" si="77">U53+T53</f>
        <v>484841997</v>
      </c>
      <c r="W53" s="12">
        <f t="shared" si="30"/>
        <v>0</v>
      </c>
      <c r="X53" s="12">
        <f t="shared" si="55"/>
        <v>-161614003</v>
      </c>
      <c r="Y53" s="35">
        <f t="shared" si="68"/>
        <v>74.999999535931295</v>
      </c>
      <c r="Z53" s="35">
        <f t="shared" si="56"/>
        <v>0</v>
      </c>
      <c r="AA53" s="35">
        <f t="shared" si="69"/>
        <v>100</v>
      </c>
      <c r="AB53" s="12">
        <f t="shared" si="57"/>
        <v>55736244</v>
      </c>
      <c r="AC53" s="35">
        <f t="shared" si="63"/>
        <v>112.98892956114713</v>
      </c>
      <c r="AD53" s="26">
        <f>Q53</f>
        <v>646456000</v>
      </c>
    </row>
    <row r="54" spans="1:30" s="10" customFormat="1" ht="43.5" customHeight="1" x14ac:dyDescent="0.3">
      <c r="A54" s="9"/>
      <c r="B54" s="116" t="s">
        <v>5</v>
      </c>
      <c r="C54" s="116"/>
      <c r="D54" s="116"/>
      <c r="E54" s="116"/>
      <c r="F54" s="116"/>
      <c r="G54" s="116"/>
      <c r="H54" s="116"/>
      <c r="I54" s="116"/>
      <c r="J54" s="12">
        <v>262500247.09999999</v>
      </c>
      <c r="K54" s="103">
        <v>246549546.16</v>
      </c>
      <c r="L54" s="12">
        <f>K54</f>
        <v>246549546.16</v>
      </c>
      <c r="M54" s="103">
        <v>179825905.36000001</v>
      </c>
      <c r="N54" s="99">
        <f t="shared" si="15"/>
        <v>68.505042317729703</v>
      </c>
      <c r="O54" s="12">
        <f t="shared" si="76"/>
        <v>179825905.36000001</v>
      </c>
      <c r="P54" s="12">
        <v>468221332.76999998</v>
      </c>
      <c r="Q54" s="12">
        <v>555836069.96000004</v>
      </c>
      <c r="R54" s="12">
        <v>504865741.22000003</v>
      </c>
      <c r="S54" s="12">
        <v>3019694.58</v>
      </c>
      <c r="T54" s="12">
        <v>1116064.08</v>
      </c>
      <c r="U54" s="12">
        <v>314612833.31999999</v>
      </c>
      <c r="V54" s="12">
        <f t="shared" si="77"/>
        <v>315728897.39999998</v>
      </c>
      <c r="W54" s="12">
        <f t="shared" si="30"/>
        <v>-1903630.5</v>
      </c>
      <c r="X54" s="12">
        <f t="shared" si="55"/>
        <v>-240107172.56000006</v>
      </c>
      <c r="Y54" s="35">
        <f t="shared" si="68"/>
        <v>56.802520466640637</v>
      </c>
      <c r="Z54" s="35">
        <f t="shared" si="56"/>
        <v>-189136843.82000005</v>
      </c>
      <c r="AA54" s="35">
        <f t="shared" si="69"/>
        <v>62.537199818123156</v>
      </c>
      <c r="AB54" s="12">
        <f t="shared" si="57"/>
        <v>135902992.03999996</v>
      </c>
      <c r="AC54" s="35">
        <f t="shared" si="63"/>
        <v>175.57475757896552</v>
      </c>
      <c r="AD54" s="26">
        <f>Q54</f>
        <v>555836069.96000004</v>
      </c>
    </row>
    <row r="55" spans="1:30" s="10" customFormat="1" ht="45" customHeight="1" x14ac:dyDescent="0.3">
      <c r="A55" s="9"/>
      <c r="B55" s="116" t="s">
        <v>4</v>
      </c>
      <c r="C55" s="116"/>
      <c r="D55" s="116"/>
      <c r="E55" s="116"/>
      <c r="F55" s="116"/>
      <c r="G55" s="116"/>
      <c r="H55" s="116"/>
      <c r="I55" s="116"/>
      <c r="J55" s="12">
        <v>955445624.27999997</v>
      </c>
      <c r="K55" s="103">
        <v>946956620.31999969</v>
      </c>
      <c r="L55" s="12">
        <f>K55</f>
        <v>946956620.31999969</v>
      </c>
      <c r="M55" s="103">
        <v>656944255.50999999</v>
      </c>
      <c r="N55" s="99">
        <f t="shared" si="15"/>
        <v>68.757890435162849</v>
      </c>
      <c r="O55" s="12">
        <f t="shared" si="76"/>
        <v>656944255.50999999</v>
      </c>
      <c r="P55" s="12">
        <v>986312523.07000005</v>
      </c>
      <c r="Q55" s="12">
        <v>985706097.38999999</v>
      </c>
      <c r="R55" s="12">
        <v>664799057.34000003</v>
      </c>
      <c r="S55" s="12">
        <v>26885866.940000001</v>
      </c>
      <c r="T55" s="12">
        <v>23027800</v>
      </c>
      <c r="U55" s="12">
        <v>647307143.60000014</v>
      </c>
      <c r="V55" s="12">
        <f t="shared" si="77"/>
        <v>670334943.60000014</v>
      </c>
      <c r="W55" s="12">
        <f t="shared" si="30"/>
        <v>-3858066.9400000013</v>
      </c>
      <c r="X55" s="12">
        <f t="shared" si="55"/>
        <v>-315371153.78999984</v>
      </c>
      <c r="Y55" s="35">
        <f t="shared" si="68"/>
        <v>68.005559200145484</v>
      </c>
      <c r="Z55" s="35">
        <f t="shared" si="56"/>
        <v>5535886.2600001097</v>
      </c>
      <c r="AA55" s="35">
        <f t="shared" si="69"/>
        <v>100.83271572046904</v>
      </c>
      <c r="AB55" s="12">
        <f t="shared" si="57"/>
        <v>13390688.090000153</v>
      </c>
      <c r="AC55" s="35">
        <f t="shared" si="63"/>
        <v>102.03832942866738</v>
      </c>
      <c r="AD55" s="26">
        <f>Q55</f>
        <v>985706097.38999999</v>
      </c>
    </row>
    <row r="56" spans="1:30" s="10" customFormat="1" ht="27" customHeight="1" x14ac:dyDescent="0.3">
      <c r="A56" s="9"/>
      <c r="B56" s="116" t="s">
        <v>3</v>
      </c>
      <c r="C56" s="116"/>
      <c r="D56" s="116"/>
      <c r="E56" s="116"/>
      <c r="F56" s="116"/>
      <c r="G56" s="116"/>
      <c r="H56" s="116"/>
      <c r="I56" s="116"/>
      <c r="J56" s="12">
        <v>8403885.0299999993</v>
      </c>
      <c r="K56" s="103">
        <v>8372369.5300000012</v>
      </c>
      <c r="L56" s="12">
        <f>K56</f>
        <v>8372369.5300000012</v>
      </c>
      <c r="M56" s="103">
        <v>4529054.08</v>
      </c>
      <c r="N56" s="99">
        <f t="shared" si="15"/>
        <v>53.892385055629454</v>
      </c>
      <c r="O56" s="12">
        <f t="shared" si="76"/>
        <v>4529054.08</v>
      </c>
      <c r="P56" s="12">
        <v>2314578.4500000002</v>
      </c>
      <c r="Q56" s="12">
        <v>5960880.0599999996</v>
      </c>
      <c r="R56" s="12">
        <v>3838757.23</v>
      </c>
      <c r="S56" s="12">
        <v>0</v>
      </c>
      <c r="T56" s="12">
        <v>96000</v>
      </c>
      <c r="U56" s="12">
        <v>3907940.7199999997</v>
      </c>
      <c r="V56" s="12">
        <f t="shared" si="77"/>
        <v>4003940.7199999997</v>
      </c>
      <c r="W56" s="12">
        <f t="shared" si="30"/>
        <v>96000</v>
      </c>
      <c r="X56" s="12">
        <f t="shared" si="55"/>
        <v>-1956939.3399999999</v>
      </c>
      <c r="Y56" s="35">
        <f t="shared" si="68"/>
        <v>67.170294984932141</v>
      </c>
      <c r="Z56" s="35">
        <f t="shared" si="56"/>
        <v>165183.48999999976</v>
      </c>
      <c r="AA56" s="35">
        <f t="shared" si="69"/>
        <v>104.30304601471241</v>
      </c>
      <c r="AB56" s="12">
        <f t="shared" si="57"/>
        <v>-525113.36000000034</v>
      </c>
      <c r="AC56" s="35">
        <f t="shared" si="63"/>
        <v>88.405672559334946</v>
      </c>
      <c r="AD56" s="26">
        <f>Q56</f>
        <v>5960880.0599999996</v>
      </c>
    </row>
    <row r="57" spans="1:30" s="10" customFormat="1" ht="39" customHeight="1" x14ac:dyDescent="0.3">
      <c r="A57" s="9"/>
      <c r="B57" s="116" t="s">
        <v>2</v>
      </c>
      <c r="C57" s="116"/>
      <c r="D57" s="116"/>
      <c r="E57" s="116"/>
      <c r="F57" s="116"/>
      <c r="G57" s="116"/>
      <c r="H57" s="116"/>
      <c r="I57" s="116"/>
      <c r="J57" s="12">
        <v>387267.5</v>
      </c>
      <c r="K57" s="103">
        <v>400115.20999999996</v>
      </c>
      <c r="L57" s="12">
        <f>K57</f>
        <v>400115.20999999996</v>
      </c>
      <c r="M57" s="103">
        <v>399915.21</v>
      </c>
      <c r="N57" s="99">
        <f t="shared" si="15"/>
        <v>103.26588469210559</v>
      </c>
      <c r="O57" s="12">
        <f t="shared" si="76"/>
        <v>399915.21</v>
      </c>
      <c r="P57" s="12">
        <v>0</v>
      </c>
      <c r="Q57" s="12">
        <v>0</v>
      </c>
      <c r="R57" s="12">
        <v>0</v>
      </c>
      <c r="S57" s="12">
        <f>40000</f>
        <v>40000</v>
      </c>
      <c r="T57" s="12">
        <v>0</v>
      </c>
      <c r="U57" s="12">
        <v>14372.880000000001</v>
      </c>
      <c r="V57" s="12">
        <f t="shared" si="77"/>
        <v>14372.880000000001</v>
      </c>
      <c r="W57" s="12">
        <f t="shared" si="30"/>
        <v>-40000</v>
      </c>
      <c r="X57" s="12">
        <f t="shared" si="55"/>
        <v>14372.880000000001</v>
      </c>
      <c r="Y57" s="88">
        <v>0</v>
      </c>
      <c r="Z57" s="35">
        <f t="shared" si="56"/>
        <v>14372.880000000001</v>
      </c>
      <c r="AA57" s="88">
        <v>0</v>
      </c>
      <c r="AB57" s="12">
        <f t="shared" si="57"/>
        <v>-385542.33</v>
      </c>
      <c r="AC57" s="35">
        <f t="shared" si="63"/>
        <v>3.5939818342993255</v>
      </c>
      <c r="AD57" s="26">
        <f>V57</f>
        <v>14372.880000000001</v>
      </c>
    </row>
    <row r="58" spans="1:30" s="10" customFormat="1" ht="171" customHeight="1" x14ac:dyDescent="0.3">
      <c r="A58" s="9"/>
      <c r="B58" s="45"/>
      <c r="C58" s="45"/>
      <c r="D58" s="45"/>
      <c r="E58" s="45"/>
      <c r="F58" s="45"/>
      <c r="G58" s="45"/>
      <c r="H58" s="45"/>
      <c r="I58" s="46" t="s">
        <v>48</v>
      </c>
      <c r="J58" s="12">
        <v>0</v>
      </c>
      <c r="K58" s="103">
        <v>0</v>
      </c>
      <c r="L58" s="12">
        <v>0</v>
      </c>
      <c r="M58" s="103">
        <v>0</v>
      </c>
      <c r="N58" s="99" t="e">
        <f t="shared" si="15"/>
        <v>#DIV/0!</v>
      </c>
      <c r="O58" s="12">
        <f t="shared" si="76"/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f t="shared" si="77"/>
        <v>0</v>
      </c>
      <c r="W58" s="12">
        <f t="shared" si="30"/>
        <v>0</v>
      </c>
      <c r="X58" s="12">
        <f t="shared" si="55"/>
        <v>0</v>
      </c>
      <c r="Y58" s="88">
        <v>0</v>
      </c>
      <c r="Z58" s="35">
        <f t="shared" si="56"/>
        <v>0</v>
      </c>
      <c r="AA58" s="35">
        <v>0</v>
      </c>
      <c r="AB58" s="12">
        <f t="shared" si="57"/>
        <v>0</v>
      </c>
      <c r="AC58" s="88">
        <v>0</v>
      </c>
      <c r="AD58" s="26"/>
    </row>
    <row r="59" spans="1:30" s="10" customFormat="1" ht="120" customHeight="1" x14ac:dyDescent="0.3">
      <c r="A59" s="9"/>
      <c r="B59" s="45"/>
      <c r="C59" s="45"/>
      <c r="D59" s="45"/>
      <c r="E59" s="45"/>
      <c r="F59" s="45"/>
      <c r="G59" s="45"/>
      <c r="H59" s="45"/>
      <c r="I59" s="45" t="s">
        <v>37</v>
      </c>
      <c r="J59" s="12">
        <v>0</v>
      </c>
      <c r="K59" s="103">
        <v>0</v>
      </c>
      <c r="L59" s="12">
        <f>K59</f>
        <v>0</v>
      </c>
      <c r="M59" s="103">
        <v>0</v>
      </c>
      <c r="N59" s="99" t="e">
        <f t="shared" si="15"/>
        <v>#DIV/0!</v>
      </c>
      <c r="O59" s="12">
        <f t="shared" si="76"/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f t="shared" si="77"/>
        <v>0</v>
      </c>
      <c r="W59" s="12">
        <f t="shared" si="30"/>
        <v>0</v>
      </c>
      <c r="X59" s="12">
        <f t="shared" si="55"/>
        <v>0</v>
      </c>
      <c r="Y59" s="88">
        <v>0</v>
      </c>
      <c r="Z59" s="35">
        <f t="shared" si="56"/>
        <v>0</v>
      </c>
      <c r="AA59" s="35">
        <v>0</v>
      </c>
      <c r="AB59" s="12">
        <f t="shared" si="57"/>
        <v>0</v>
      </c>
      <c r="AC59" s="88">
        <v>0</v>
      </c>
      <c r="AD59" s="26">
        <f>V59</f>
        <v>0</v>
      </c>
    </row>
    <row r="60" spans="1:30" s="10" customFormat="1" ht="78.75" customHeight="1" x14ac:dyDescent="0.3">
      <c r="A60" s="9"/>
      <c r="B60" s="116" t="s">
        <v>0</v>
      </c>
      <c r="C60" s="116"/>
      <c r="D60" s="116"/>
      <c r="E60" s="116"/>
      <c r="F60" s="116"/>
      <c r="G60" s="116"/>
      <c r="H60" s="116"/>
      <c r="I60" s="116"/>
      <c r="J60" s="12">
        <v>-8203565.8499999996</v>
      </c>
      <c r="K60" s="103">
        <v>-8203565.8500000015</v>
      </c>
      <c r="L60" s="12">
        <f>K60</f>
        <v>-8203565.8500000015</v>
      </c>
      <c r="M60" s="103">
        <v>-8122161.0199999996</v>
      </c>
      <c r="N60" s="99">
        <f t="shared" si="15"/>
        <v>99.007689686552595</v>
      </c>
      <c r="O60" s="12">
        <f t="shared" si="76"/>
        <v>-8122161.0199999996</v>
      </c>
      <c r="P60" s="12">
        <v>0</v>
      </c>
      <c r="Q60" s="12">
        <v>-238683.99</v>
      </c>
      <c r="R60" s="12">
        <v>-238683.99</v>
      </c>
      <c r="S60" s="12">
        <v>-200000</v>
      </c>
      <c r="T60" s="12">
        <v>0</v>
      </c>
      <c r="U60" s="12">
        <v>-2523237.89</v>
      </c>
      <c r="V60" s="12">
        <f t="shared" si="77"/>
        <v>-2523237.89</v>
      </c>
      <c r="W60" s="12">
        <f t="shared" si="30"/>
        <v>200000</v>
      </c>
      <c r="X60" s="12">
        <f t="shared" si="55"/>
        <v>-2284553.9000000004</v>
      </c>
      <c r="Y60" s="88">
        <v>0</v>
      </c>
      <c r="Z60" s="35">
        <f t="shared" si="56"/>
        <v>-2284553.9000000004</v>
      </c>
      <c r="AA60" s="12">
        <v>0</v>
      </c>
      <c r="AB60" s="12">
        <f t="shared" si="57"/>
        <v>5598923.129999999</v>
      </c>
      <c r="AC60" s="35">
        <f>V60/O60%</f>
        <v>31.066090462707919</v>
      </c>
      <c r="AD60" s="26">
        <f>V60</f>
        <v>-2523237.89</v>
      </c>
    </row>
    <row r="61" spans="1:30" s="5" customFormat="1" ht="18.75" x14ac:dyDescent="0.3">
      <c r="A61" s="4"/>
      <c r="B61" s="8"/>
      <c r="C61" s="8"/>
      <c r="D61" s="8"/>
      <c r="E61" s="8"/>
      <c r="F61" s="8"/>
      <c r="G61" s="8"/>
      <c r="H61" s="8"/>
      <c r="I61" s="8"/>
      <c r="J61" s="103">
        <f>J52+J7</f>
        <v>2457763960.0100002</v>
      </c>
      <c r="K61" s="103">
        <f>K52+K7</f>
        <v>2495429043.5799999</v>
      </c>
      <c r="L61" s="12">
        <f>L52+L7</f>
        <v>2489776650.0538154</v>
      </c>
      <c r="M61" s="103">
        <f>M52+M7</f>
        <v>1721930328.2399998</v>
      </c>
      <c r="N61" s="100">
        <f t="shared" si="15"/>
        <v>70.060850279251127</v>
      </c>
      <c r="O61" s="12">
        <f t="shared" ref="O61:V61" si="78">O52+O7</f>
        <v>1715896721.0369735</v>
      </c>
      <c r="P61" s="12">
        <f t="shared" si="78"/>
        <v>2893775182.4200001</v>
      </c>
      <c r="Q61" s="12">
        <f t="shared" si="78"/>
        <v>2984880771.71</v>
      </c>
      <c r="R61" s="92">
        <f t="shared" si="78"/>
        <v>2211701387.5799999</v>
      </c>
      <c r="S61" s="12">
        <f t="shared" ref="S61" si="79">S52+S7</f>
        <v>39519778.680000007</v>
      </c>
      <c r="T61" s="12">
        <f t="shared" si="78"/>
        <v>27328916.459999997</v>
      </c>
      <c r="U61" s="12">
        <f t="shared" si="78"/>
        <v>1936679961.5800002</v>
      </c>
      <c r="V61" s="12">
        <f t="shared" si="78"/>
        <v>1964008878.0400002</v>
      </c>
      <c r="W61" s="12">
        <f t="shared" si="30"/>
        <v>-12190862.22000001</v>
      </c>
      <c r="X61" s="12">
        <f t="shared" si="55"/>
        <v>-1020871893.6699998</v>
      </c>
      <c r="Y61" s="12">
        <f>V61/Q61%</f>
        <v>65.798570470700724</v>
      </c>
      <c r="Z61" s="12">
        <f t="shared" si="56"/>
        <v>-247692509.53999972</v>
      </c>
      <c r="AA61" s="12">
        <f>V61/R61*100</f>
        <v>88.800815927008131</v>
      </c>
      <c r="AB61" s="12">
        <f t="shared" si="57"/>
        <v>248112157.00302672</v>
      </c>
      <c r="AC61" s="12">
        <f>V61/O61%</f>
        <v>114.45962067303702</v>
      </c>
      <c r="AD61" s="103" t="e">
        <f>AD52+AD7</f>
        <v>#REF!</v>
      </c>
    </row>
    <row r="62" spans="1:30" s="20" customFormat="1" ht="18.75" x14ac:dyDescent="0.3">
      <c r="A62" s="17"/>
      <c r="B62" s="17"/>
      <c r="C62" s="17"/>
      <c r="D62" s="17"/>
      <c r="E62" s="17"/>
      <c r="F62" s="17"/>
      <c r="G62" s="17"/>
      <c r="H62" s="17"/>
      <c r="I62" s="17"/>
      <c r="J62" s="112"/>
      <c r="K62" s="112"/>
      <c r="L62" s="112"/>
      <c r="M62" s="112"/>
      <c r="N62" s="112"/>
      <c r="O62" s="112"/>
      <c r="P62" s="112"/>
      <c r="Q62" s="112"/>
      <c r="R62" s="113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</row>
    <row r="63" spans="1:30" s="20" customFormat="1" ht="18.75" hidden="1" x14ac:dyDescent="0.3">
      <c r="A63" s="17"/>
      <c r="B63" s="17"/>
      <c r="C63" s="17"/>
      <c r="D63" s="17"/>
      <c r="E63" s="17"/>
      <c r="F63" s="17"/>
      <c r="G63" s="17"/>
      <c r="H63" s="17"/>
      <c r="I63" s="17" t="s">
        <v>84</v>
      </c>
      <c r="J63" s="112"/>
      <c r="K63" s="112"/>
      <c r="L63" s="112"/>
      <c r="M63" s="112"/>
      <c r="N63" s="112"/>
      <c r="O63" s="112"/>
      <c r="P63" s="112"/>
      <c r="Q63" s="112"/>
      <c r="R63" s="113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</row>
    <row r="64" spans="1:30" s="20" customFormat="1" ht="55.5" hidden="1" customHeight="1" x14ac:dyDescent="0.3">
      <c r="A64" s="17"/>
      <c r="B64" s="17"/>
      <c r="C64" s="17"/>
      <c r="D64" s="17"/>
      <c r="E64" s="17"/>
      <c r="F64" s="17"/>
      <c r="G64" s="17"/>
      <c r="H64" s="17"/>
      <c r="I64" s="114" t="s">
        <v>85</v>
      </c>
      <c r="J64" s="112"/>
      <c r="K64" s="112"/>
      <c r="L64" s="112"/>
      <c r="M64" s="115"/>
      <c r="N64" s="112"/>
      <c r="O64" s="115" t="s">
        <v>86</v>
      </c>
      <c r="P64" s="112"/>
      <c r="Q64" s="112"/>
      <c r="R64" s="113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</row>
    <row r="65" spans="1:29" s="59" customFormat="1" ht="18" customHeight="1" x14ac:dyDescent="0.3">
      <c r="A65" s="57"/>
      <c r="B65" s="57"/>
      <c r="C65" s="57"/>
      <c r="D65" s="57"/>
      <c r="E65" s="57"/>
      <c r="F65" s="57"/>
      <c r="G65" s="57"/>
      <c r="H65" s="57"/>
      <c r="I65" s="59" t="s">
        <v>42</v>
      </c>
      <c r="J65" s="66"/>
      <c r="K65" s="66"/>
      <c r="L65" s="66"/>
      <c r="M65" s="66"/>
      <c r="N65" s="66"/>
      <c r="O65" s="71" t="s">
        <v>54</v>
      </c>
      <c r="P65" s="71">
        <v>2125335858.95</v>
      </c>
      <c r="Q65" s="71"/>
      <c r="R65" s="72">
        <v>1276217451.79</v>
      </c>
      <c r="S65" s="71"/>
      <c r="T65" s="82"/>
      <c r="U65" s="83">
        <v>1091597698.1400001</v>
      </c>
      <c r="V65" s="84">
        <v>1169360721.9000001</v>
      </c>
      <c r="W65" s="71"/>
      <c r="X65" s="71"/>
      <c r="Y65" s="71"/>
      <c r="Z65" s="75"/>
      <c r="AA65" s="75"/>
      <c r="AB65" s="66"/>
      <c r="AC65" s="69"/>
    </row>
    <row r="66" spans="1:29" s="59" customFormat="1" ht="18.75" customHeight="1" x14ac:dyDescent="0.3">
      <c r="I66" s="59" t="s">
        <v>67</v>
      </c>
      <c r="J66" s="67"/>
      <c r="K66" s="67"/>
      <c r="L66" s="72">
        <f>L61-K67</f>
        <v>0</v>
      </c>
      <c r="M66" s="72">
        <f>M61-M10+O10</f>
        <v>1718379079.3669736</v>
      </c>
      <c r="N66" s="72"/>
      <c r="O66" s="72" t="s">
        <v>66</v>
      </c>
      <c r="P66" s="72"/>
      <c r="Q66" s="67" t="s">
        <v>36</v>
      </c>
      <c r="R66" s="72">
        <v>1581194711.4100001</v>
      </c>
      <c r="S66" s="67"/>
      <c r="T66" s="85"/>
      <c r="U66" s="85"/>
      <c r="V66" s="83">
        <v>1229277981.27</v>
      </c>
      <c r="W66" s="73"/>
      <c r="X66" s="68"/>
      <c r="Y66" s="118"/>
      <c r="Z66" s="118"/>
      <c r="AA66" s="118"/>
      <c r="AB66" s="118"/>
    </row>
    <row r="67" spans="1:29" s="59" customFormat="1" ht="18" customHeight="1" x14ac:dyDescent="0.3">
      <c r="K67" s="91">
        <f>K61-K10+L10-K13+L13</f>
        <v>2489776650.0538158</v>
      </c>
      <c r="M67" s="91">
        <f>M61-M10+O10-M13+O13-M11+O11-M14+O14-M34+O34-M39+O39</f>
        <v>1715896721.0369737</v>
      </c>
      <c r="N67" s="67"/>
      <c r="O67" s="67"/>
      <c r="Q67" s="67"/>
      <c r="R67" s="72">
        <f>S67</f>
        <v>56749746.579999998</v>
      </c>
      <c r="S67" s="72">
        <v>56749746.579999998</v>
      </c>
      <c r="T67" s="67"/>
      <c r="U67" s="90">
        <v>1936679961.5800002</v>
      </c>
    </row>
    <row r="68" spans="1:29" s="59" customFormat="1" ht="18" customHeight="1" x14ac:dyDescent="0.3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70"/>
      <c r="W68" s="57"/>
      <c r="X68" s="57"/>
      <c r="Y68" s="57"/>
      <c r="Z68" s="69"/>
      <c r="AA68" s="69"/>
      <c r="AB68" s="57"/>
      <c r="AC68" s="57"/>
    </row>
    <row r="69" spans="1:29" s="5" customFormat="1" ht="18.75" hidden="1" x14ac:dyDescent="0.3">
      <c r="I69" s="5" t="s">
        <v>42</v>
      </c>
      <c r="J69" s="16"/>
      <c r="K69" s="16"/>
      <c r="L69" s="16"/>
      <c r="M69" s="16"/>
      <c r="N69" s="16"/>
      <c r="O69" s="16"/>
      <c r="P69" s="16"/>
      <c r="Q69" s="16"/>
      <c r="R69" s="16"/>
    </row>
    <row r="70" spans="1:29" s="5" customFormat="1" ht="18.75" hidden="1" x14ac:dyDescent="0.3">
      <c r="I70" s="5" t="s">
        <v>38</v>
      </c>
    </row>
    <row r="71" spans="1:29" s="5" customFormat="1" ht="18.75" x14ac:dyDescent="0.3">
      <c r="M71" s="16"/>
      <c r="N71" s="16"/>
    </row>
    <row r="72" spans="1:29" x14ac:dyDescent="0.2">
      <c r="T72" s="14"/>
    </row>
  </sheetData>
  <autoFilter ref="A6:IA6" xr:uid="{00000000-0009-0000-0000-000000000000}"/>
  <mergeCells count="46">
    <mergeCell ref="B12:I12"/>
    <mergeCell ref="I1:X2"/>
    <mergeCell ref="I4:I5"/>
    <mergeCell ref="S4:T4"/>
    <mergeCell ref="U4:U5"/>
    <mergeCell ref="J4:J5"/>
    <mergeCell ref="K4:K5"/>
    <mergeCell ref="N4:N5"/>
    <mergeCell ref="O4:O5"/>
    <mergeCell ref="P4:P5"/>
    <mergeCell ref="L4:L5"/>
    <mergeCell ref="M4:M5"/>
    <mergeCell ref="Q4:R5"/>
    <mergeCell ref="B22:I22"/>
    <mergeCell ref="AB4:AC4"/>
    <mergeCell ref="B15:I15"/>
    <mergeCell ref="B16:I16"/>
    <mergeCell ref="B17:I17"/>
    <mergeCell ref="B18:I18"/>
    <mergeCell ref="B21:I21"/>
    <mergeCell ref="W4:W5"/>
    <mergeCell ref="X4:Y4"/>
    <mergeCell ref="Z4:AA4"/>
    <mergeCell ref="B7:I7"/>
    <mergeCell ref="B10:I10"/>
    <mergeCell ref="B11:I11"/>
    <mergeCell ref="B14:I14"/>
    <mergeCell ref="V4:V5"/>
    <mergeCell ref="Y66:AB66"/>
    <mergeCell ref="B53:I53"/>
    <mergeCell ref="B54:I54"/>
    <mergeCell ref="B55:I55"/>
    <mergeCell ref="B56:I56"/>
    <mergeCell ref="B57:I57"/>
    <mergeCell ref="B60:I60"/>
    <mergeCell ref="B52:I52"/>
    <mergeCell ref="B24:I24"/>
    <mergeCell ref="B34:I34"/>
    <mergeCell ref="B35:I35"/>
    <mergeCell ref="B36:I36"/>
    <mergeCell ref="B42:I42"/>
    <mergeCell ref="B43:I43"/>
    <mergeCell ref="B44:I44"/>
    <mergeCell ref="B45:I45"/>
    <mergeCell ref="B46:I46"/>
    <mergeCell ref="B48:I48"/>
  </mergeCells>
  <pageMargins left="0.39370078740157483" right="0.39370078740157483" top="0.78740157480314965" bottom="0.39370078740157483" header="0.39370078740157483" footer="0.39370078740157483"/>
  <pageSetup paperSize="9" fitToWidth="2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Доходы</vt:lpstr>
      <vt:lpstr>Доходы!Заголовки_для_печати</vt:lpstr>
      <vt:lpstr>Доходы!Область_печати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BLPOOV1</dc:creator>
  <cp:lastModifiedBy>BLPUSP2</cp:lastModifiedBy>
  <cp:lastPrinted>2026-09-18T11:11:13Z</cp:lastPrinted>
  <dcterms:created xsi:type="dcterms:W3CDTF">2018-12-30T09:36:16Z</dcterms:created>
  <dcterms:modified xsi:type="dcterms:W3CDTF">2026-09-25T10:50:19Z</dcterms:modified>
</cp:coreProperties>
</file>